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2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/>
  <mc:AlternateContent xmlns:mc="http://schemas.openxmlformats.org/markup-compatibility/2006">
    <mc:Choice Requires="x15">
      <x15ac:absPath xmlns:x15ac="http://schemas.microsoft.com/office/spreadsheetml/2010/11/ac" url="W:\Exploitation\05-AF en exé\2 - VRD\525 412 - SIGIDURS - DEPOTS SAUVAGES\02-Exécution\10-Suivi chantier\"/>
    </mc:Choice>
  </mc:AlternateContent>
  <xr:revisionPtr revIDLastSave="0" documentId="8_{823D3FA9-AD3A-497E-8D29-CAFC9EF79AF5}" xr6:coauthVersionLast="47" xr6:coauthVersionMax="47" xr10:uidLastSave="{00000000-0000-0000-0000-000000000000}"/>
  <bookViews>
    <workbookView xWindow="28665" yWindow="1950" windowWidth="25470" windowHeight="15300" xr2:uid="{00000000-000D-0000-FFFF-FFFF00000000}"/>
  </bookViews>
  <sheets>
    <sheet name="Tonnages par commune CP" sheetId="2" r:id="rId1"/>
    <sheet name="Tonnages par déchets CP" sheetId="1" r:id="rId2"/>
    <sheet name="Tonnages par déchets OS" sheetId="5" r:id="rId3"/>
    <sheet name="Tonnages par commune OS" sheetId="4" r:id="rId4"/>
  </sheets>
  <calcPr calcId="191029"/>
  <pivotCaches>
    <pivotCache cacheId="22" r:id="rId5"/>
    <pivotCache cacheId="26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2" l="1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3" i="2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3" i="4"/>
  <c r="G44" i="4"/>
  <c r="H4" i="4" l="1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3" i="4"/>
  <c r="F26" i="4" l="1"/>
  <c r="F44" i="4" s="1"/>
  <c r="D44" i="4"/>
  <c r="E44" i="4"/>
  <c r="C44" i="4"/>
  <c r="C7" i="1"/>
  <c r="D7" i="1"/>
  <c r="E7" i="1"/>
  <c r="F7" i="1"/>
  <c r="G7" i="1"/>
  <c r="H7" i="1"/>
  <c r="I7" i="1"/>
  <c r="J7" i="1"/>
  <c r="K7" i="1"/>
  <c r="L7" i="1"/>
  <c r="B7" i="1"/>
  <c r="M7" i="1"/>
  <c r="M6" i="1"/>
  <c r="M5" i="1"/>
  <c r="M4" i="1"/>
  <c r="M3" i="1"/>
  <c r="M2" i="1"/>
  <c r="P7" i="5"/>
  <c r="P3" i="5"/>
  <c r="P4" i="5"/>
  <c r="P5" i="5"/>
  <c r="P6" i="5"/>
  <c r="F44" i="2"/>
  <c r="G44" i="2"/>
  <c r="E44" i="2"/>
  <c r="D44" i="2"/>
  <c r="C44" i="2"/>
  <c r="O6" i="5"/>
  <c r="B6" i="5"/>
  <c r="C6" i="5"/>
  <c r="L6" i="5"/>
  <c r="J6" i="5"/>
  <c r="F6" i="5"/>
  <c r="G12" i="4"/>
  <c r="K6" i="5"/>
  <c r="I6" i="5"/>
  <c r="G6" i="4"/>
  <c r="E6" i="5"/>
  <c r="G25" i="4"/>
  <c r="C5" i="5"/>
  <c r="L5" i="5"/>
  <c r="J5" i="5"/>
  <c r="F22" i="4"/>
  <c r="B5" i="5"/>
  <c r="F28" i="4"/>
  <c r="F12" i="4"/>
  <c r="O5" i="5"/>
  <c r="F25" i="4"/>
  <c r="F5" i="5"/>
  <c r="M5" i="5"/>
  <c r="F38" i="4"/>
  <c r="E5" i="5"/>
  <c r="I5" i="5"/>
  <c r="F19" i="4"/>
  <c r="F17" i="4"/>
  <c r="F3" i="4"/>
  <c r="F24" i="4"/>
  <c r="F43" i="4"/>
  <c r="F21" i="4"/>
  <c r="K5" i="5"/>
  <c r="B45" i="2" l="1"/>
  <c r="F4" i="5"/>
  <c r="C4" i="5"/>
  <c r="E26" i="4"/>
  <c r="B4" i="5"/>
  <c r="F3" i="5"/>
  <c r="E43" i="4"/>
  <c r="M4" i="5"/>
  <c r="L4" i="5"/>
  <c r="E14" i="4"/>
  <c r="I4" i="5"/>
  <c r="E4" i="5"/>
  <c r="J4" i="5"/>
  <c r="E38" i="4"/>
  <c r="D26" i="4"/>
  <c r="I3" i="5" l="1"/>
  <c r="C3" i="5"/>
  <c r="L3" i="5"/>
  <c r="K3" i="5"/>
  <c r="B3" i="5"/>
  <c r="M3" i="5"/>
  <c r="D25" i="4"/>
  <c r="J3" i="5"/>
  <c r="E3" i="5"/>
  <c r="G14" i="2" l="1"/>
  <c r="G20" i="2"/>
  <c r="G21" i="2"/>
  <c r="G3" i="2"/>
  <c r="G10" i="2"/>
  <c r="G18" i="2"/>
  <c r="G6" i="2"/>
  <c r="G30" i="2"/>
  <c r="G19" i="2" l="1"/>
  <c r="G12" i="2"/>
  <c r="G37" i="2"/>
  <c r="F18" i="2"/>
  <c r="F12" i="2"/>
  <c r="F30" i="2"/>
  <c r="F24" i="2"/>
  <c r="F19" i="2"/>
  <c r="F37" i="2"/>
  <c r="F22" i="2"/>
  <c r="F17" i="2"/>
  <c r="F20" i="2"/>
  <c r="E24" i="2"/>
  <c r="E18" i="2"/>
  <c r="E13" i="2"/>
  <c r="E10" i="2"/>
  <c r="E7" i="2"/>
  <c r="E26" i="2"/>
  <c r="E14" i="2"/>
  <c r="E32" i="2"/>
  <c r="E34" i="2"/>
  <c r="E20" i="2"/>
  <c r="E3" i="2"/>
  <c r="E21" i="2"/>
  <c r="E22" i="2"/>
  <c r="E43" i="2"/>
  <c r="E17" i="2"/>
  <c r="E42" i="2"/>
  <c r="E35" i="2"/>
  <c r="E30" i="2"/>
  <c r="E23" i="2"/>
  <c r="E8" i="2"/>
  <c r="E31" i="2"/>
  <c r="D41" i="2"/>
  <c r="D23" i="2"/>
  <c r="D3" i="2"/>
  <c r="D21" i="2"/>
  <c r="D20" i="2"/>
  <c r="D30" i="2"/>
  <c r="D24" i="2"/>
  <c r="D18" i="2"/>
  <c r="D37" i="2"/>
  <c r="D15" i="2"/>
  <c r="D10" i="2"/>
  <c r="D13" i="2"/>
  <c r="D11" i="2"/>
  <c r="D26" i="2"/>
  <c r="D19" i="2"/>
  <c r="D8" i="2"/>
  <c r="D40" i="2"/>
  <c r="D32" i="2"/>
  <c r="D25" i="2"/>
  <c r="D39" i="2"/>
  <c r="D34" i="2"/>
  <c r="D38" i="2"/>
  <c r="D31" i="2"/>
  <c r="D36" i="2"/>
  <c r="C34" i="2"/>
  <c r="C33" i="2"/>
  <c r="C32" i="2"/>
  <c r="C31" i="2"/>
  <c r="C30" i="2"/>
  <c r="C29" i="2"/>
  <c r="C27" i="2"/>
  <c r="C26" i="2"/>
  <c r="C25" i="2"/>
  <c r="C24" i="2"/>
  <c r="C23" i="2"/>
  <c r="C22" i="2"/>
  <c r="C21" i="2"/>
  <c r="C19" i="2"/>
  <c r="C18" i="2"/>
  <c r="C17" i="2"/>
  <c r="C13" i="2"/>
  <c r="C12" i="2"/>
  <c r="C11" i="2"/>
  <c r="C10" i="2"/>
  <c r="D4" i="2"/>
  <c r="C3" i="2"/>
</calcChain>
</file>

<file path=xl/sharedStrings.xml><?xml version="1.0" encoding="utf-8"?>
<sst xmlns="http://schemas.openxmlformats.org/spreadsheetml/2006/main" count="229" uniqueCount="70">
  <si>
    <t>Gravats</t>
  </si>
  <si>
    <t>Bois</t>
  </si>
  <si>
    <t>Encombrants</t>
  </si>
  <si>
    <t>DIB</t>
  </si>
  <si>
    <t>Déchets dangereux</t>
  </si>
  <si>
    <t>DEEE</t>
  </si>
  <si>
    <t>Plâtre</t>
  </si>
  <si>
    <t>Végétaux</t>
  </si>
  <si>
    <t>Pneus</t>
  </si>
  <si>
    <t>Déchets de chantier</t>
  </si>
  <si>
    <t>Mai 2025</t>
  </si>
  <si>
    <t>Juin 2025</t>
  </si>
  <si>
    <t>Juillet 2025</t>
  </si>
  <si>
    <t>Août 2025</t>
  </si>
  <si>
    <t>Septembre 2025</t>
  </si>
  <si>
    <t>Gonesse</t>
  </si>
  <si>
    <t>Louvres</t>
  </si>
  <si>
    <t>Goussainville</t>
  </si>
  <si>
    <t>Villiers le Bel</t>
  </si>
  <si>
    <t>Bonneuil en France</t>
  </si>
  <si>
    <t>Garges les Gonesse</t>
  </si>
  <si>
    <t>Saint Witz</t>
  </si>
  <si>
    <t>Survilliers</t>
  </si>
  <si>
    <t>Marly-la-Ville</t>
  </si>
  <si>
    <t>Villeron</t>
  </si>
  <si>
    <t>Vemars</t>
  </si>
  <si>
    <t>Le Thillay</t>
  </si>
  <si>
    <t>Saint Mard</t>
  </si>
  <si>
    <t>Moussy Le neuf</t>
  </si>
  <si>
    <t>Moussy Le vieux</t>
  </si>
  <si>
    <t>Compans</t>
  </si>
  <si>
    <t>Roissy en France</t>
  </si>
  <si>
    <t>Dammartin en Goelle</t>
  </si>
  <si>
    <t>Claye Souilly</t>
  </si>
  <si>
    <t>Juilly</t>
  </si>
  <si>
    <t>Rouvres</t>
  </si>
  <si>
    <t>Fontenay-en-Parisis</t>
  </si>
  <si>
    <t>Mitry Mory</t>
  </si>
  <si>
    <t>Le Mesnil Amelot</t>
  </si>
  <si>
    <t>Le Mesnil Aubry</t>
  </si>
  <si>
    <t>Puiseux en France</t>
  </si>
  <si>
    <t>Mauregard</t>
  </si>
  <si>
    <t>Sarcelles</t>
  </si>
  <si>
    <t>Épiais Lès Louvres</t>
  </si>
  <si>
    <t>Othis</t>
  </si>
  <si>
    <t>Bouqueval</t>
  </si>
  <si>
    <t>Ecouen</t>
  </si>
  <si>
    <t>Plessis-Gassot</t>
  </si>
  <si>
    <t>Gressy</t>
  </si>
  <si>
    <t>Thieux</t>
  </si>
  <si>
    <t>Longperrier</t>
  </si>
  <si>
    <t>Villeparisi</t>
  </si>
  <si>
    <t>Fosses</t>
  </si>
  <si>
    <t>Pneu</t>
  </si>
  <si>
    <t>Commune</t>
  </si>
  <si>
    <t>Cartons</t>
  </si>
  <si>
    <t>Ferrailles</t>
  </si>
  <si>
    <t>Tonnage mensuel</t>
  </si>
  <si>
    <t>Total</t>
  </si>
  <si>
    <t>Total (Tonnes)</t>
  </si>
  <si>
    <t>Tonnage mensuels</t>
  </si>
  <si>
    <t xml:space="preserve">Total </t>
  </si>
  <si>
    <t>Étiquettes de lignes</t>
  </si>
  <si>
    <t>Total général</t>
  </si>
  <si>
    <t>Somme de Mai 2025</t>
  </si>
  <si>
    <t>Somme de Juin 2025</t>
  </si>
  <si>
    <t>Somme de Juillet 2025</t>
  </si>
  <si>
    <t>Somme de Août 2025</t>
  </si>
  <si>
    <t>Somme de Septembre 2025</t>
  </si>
  <si>
    <t>Total 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</si>
</sst>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NumberFormat="1"/>
    <xf numFmtId="0" fontId="3" fillId="2" borderId="1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1" fillId="3" borderId="16" xfId="0" applyFont="1" applyFill="1" applyBorder="1" applyAlignment="1">
      <alignment horizontal="center" vertical="top"/>
    </xf>
    <xf numFmtId="0" fontId="0" fillId="3" borderId="1" xfId="0" applyFill="1" applyBorder="1"/>
    <xf numFmtId="0" fontId="1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2" fillId="3" borderId="15" xfId="0" applyFont="1" applyFill="1" applyBorder="1"/>
    <xf numFmtId="0" fontId="2" fillId="3" borderId="17" xfId="0" applyFont="1" applyFill="1" applyBorder="1"/>
    <xf numFmtId="0" fontId="4" fillId="3" borderId="20" xfId="0" applyFont="1" applyFill="1" applyBorder="1"/>
    <xf numFmtId="0" fontId="0" fillId="4" borderId="0" xfId="0" applyFill="1"/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2" fillId="2" borderId="1" xfId="0" applyFont="1" applyFill="1" applyBorder="1"/>
    <xf numFmtId="0" fontId="2" fillId="3" borderId="1" xfId="0" applyFont="1" applyFill="1" applyBorder="1"/>
    <xf numFmtId="0" fontId="0" fillId="3" borderId="1" xfId="0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1" fillId="3" borderId="9" xfId="0" applyFont="1" applyFill="1" applyBorder="1" applyAlignment="1">
      <alignment horizontal="center" vertical="top"/>
    </xf>
    <xf numFmtId="0" fontId="0" fillId="3" borderId="7" xfId="0" applyFill="1" applyBorder="1"/>
    <xf numFmtId="0" fontId="1" fillId="3" borderId="10" xfId="0" applyFont="1" applyFill="1" applyBorder="1" applyAlignment="1">
      <alignment horizontal="center" vertical="top"/>
    </xf>
    <xf numFmtId="0" fontId="2" fillId="3" borderId="6" xfId="0" applyFont="1" applyFill="1" applyBorder="1"/>
    <xf numFmtId="0" fontId="2" fillId="2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sng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b="1" u="sng">
                <a:solidFill>
                  <a:sysClr val="windowText" lastClr="000000"/>
                </a:solidFill>
              </a:rPr>
              <a:t>TONNAGE CP PAR CATEGORIES DE DECHETS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0409283255177517E-2"/>
          <c:y val="7.1585503418703442E-2"/>
          <c:w val="0.93015437077786423"/>
          <c:h val="0.799748396153918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'Tonnages par déchets CP'!$B$1</c:f>
              <c:strCache>
                <c:ptCount val="1"/>
                <c:pt idx="0">
                  <c:v>Gravats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'Tonnages par déchets CP'!$A$2:$A$6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CP'!$B$2:$B$6</c:f>
              <c:numCache>
                <c:formatCode>General</c:formatCode>
                <c:ptCount val="5"/>
                <c:pt idx="0">
                  <c:v>7.08</c:v>
                </c:pt>
                <c:pt idx="1">
                  <c:v>20.28</c:v>
                </c:pt>
                <c:pt idx="2">
                  <c:v>15.36</c:v>
                </c:pt>
                <c:pt idx="3">
                  <c:v>21.96</c:v>
                </c:pt>
                <c:pt idx="4">
                  <c:v>17.64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F-469B-8CFE-F4B726A4A2FC}"/>
            </c:ext>
          </c:extLst>
        </c:ser>
        <c:ser>
          <c:idx val="1"/>
          <c:order val="1"/>
          <c:tx>
            <c:strRef>
              <c:f>'Tonnages par déchets CP'!$C$1</c:f>
              <c:strCache>
                <c:ptCount val="1"/>
                <c:pt idx="0">
                  <c:v>Bois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'Tonnages par déchets CP'!$A$2:$A$6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CP'!$C$2:$C$6</c:f>
              <c:numCache>
                <c:formatCode>General</c:formatCode>
                <c:ptCount val="5"/>
                <c:pt idx="0">
                  <c:v>2.44</c:v>
                </c:pt>
                <c:pt idx="1">
                  <c:v>11.48</c:v>
                </c:pt>
                <c:pt idx="2">
                  <c:v>4.5</c:v>
                </c:pt>
                <c:pt idx="3">
                  <c:v>0</c:v>
                </c:pt>
                <c:pt idx="4">
                  <c:v>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6F-469B-8CFE-F4B726A4A2FC}"/>
            </c:ext>
          </c:extLst>
        </c:ser>
        <c:ser>
          <c:idx val="2"/>
          <c:order val="2"/>
          <c:tx>
            <c:strRef>
              <c:f>'Tonnages par déchets CP'!$D$1</c:f>
              <c:strCache>
                <c:ptCount val="1"/>
                <c:pt idx="0">
                  <c:v>Pneu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>
              <a:noFill/>
            </a:ln>
            <a:effectLst/>
          </c:spPr>
          <c:invertIfNegative val="0"/>
          <c:cat>
            <c:strRef>
              <c:f>'Tonnages par déchets CP'!$A$2:$A$6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CP'!$D$2:$D$6</c:f>
              <c:numCache>
                <c:formatCode>General</c:formatCode>
                <c:ptCount val="5"/>
                <c:pt idx="0">
                  <c:v>0.86</c:v>
                </c:pt>
                <c:pt idx="1">
                  <c:v>2.08</c:v>
                </c:pt>
                <c:pt idx="2">
                  <c:v>0</c:v>
                </c:pt>
                <c:pt idx="3">
                  <c:v>1.64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6F-469B-8CFE-F4B726A4A2FC}"/>
            </c:ext>
          </c:extLst>
        </c:ser>
        <c:ser>
          <c:idx val="3"/>
          <c:order val="3"/>
          <c:tx>
            <c:strRef>
              <c:f>'Tonnages par déchets CP'!$E$1</c:f>
              <c:strCache>
                <c:ptCount val="1"/>
                <c:pt idx="0">
                  <c:v>Encombrants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'Tonnages par déchets CP'!$A$2:$A$6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CP'!$E$2:$E$6</c:f>
              <c:numCache>
                <c:formatCode>General</c:formatCode>
                <c:ptCount val="5"/>
                <c:pt idx="0">
                  <c:v>1.1000000000000001</c:v>
                </c:pt>
                <c:pt idx="1">
                  <c:v>0</c:v>
                </c:pt>
                <c:pt idx="2">
                  <c:v>1.58</c:v>
                </c:pt>
                <c:pt idx="3">
                  <c:v>3.3</c:v>
                </c:pt>
                <c:pt idx="4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6F-469B-8CFE-F4B726A4A2FC}"/>
            </c:ext>
          </c:extLst>
        </c:ser>
        <c:ser>
          <c:idx val="4"/>
          <c:order val="4"/>
          <c:tx>
            <c:strRef>
              <c:f>'Tonnages par déchets CP'!$F$1</c:f>
              <c:strCache>
                <c:ptCount val="1"/>
                <c:pt idx="0">
                  <c:v>DIB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'Tonnages par déchets CP'!$A$2:$A$6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CP'!$F$2:$F$6</c:f>
              <c:numCache>
                <c:formatCode>General</c:formatCode>
                <c:ptCount val="5"/>
                <c:pt idx="0">
                  <c:v>0</c:v>
                </c:pt>
                <c:pt idx="1">
                  <c:v>9.6</c:v>
                </c:pt>
                <c:pt idx="2">
                  <c:v>30.6</c:v>
                </c:pt>
                <c:pt idx="3">
                  <c:v>36.619999999999997</c:v>
                </c:pt>
                <c:pt idx="4">
                  <c:v>12.08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6F-469B-8CFE-F4B726A4A2FC}"/>
            </c:ext>
          </c:extLst>
        </c:ser>
        <c:ser>
          <c:idx val="5"/>
          <c:order val="5"/>
          <c:tx>
            <c:strRef>
              <c:f>'Tonnages par déchets CP'!$G$1</c:f>
              <c:strCache>
                <c:ptCount val="1"/>
                <c:pt idx="0">
                  <c:v>Déchets dangereux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'Tonnages par déchets CP'!$A$2:$A$6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CP'!$G$2:$G$6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6F-469B-8CFE-F4B726A4A2FC}"/>
            </c:ext>
          </c:extLst>
        </c:ser>
        <c:ser>
          <c:idx val="6"/>
          <c:order val="6"/>
          <c:tx>
            <c:strRef>
              <c:f>'Tonnages par déchets CP'!$H$1</c:f>
              <c:strCache>
                <c:ptCount val="1"/>
                <c:pt idx="0">
                  <c:v>DEEE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'Tonnages par déchets CP'!$A$2:$A$6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CP'!$H$2:$H$6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F6F-469B-8CFE-F4B726A4A2FC}"/>
            </c:ext>
          </c:extLst>
        </c:ser>
        <c:ser>
          <c:idx val="7"/>
          <c:order val="7"/>
          <c:tx>
            <c:strRef>
              <c:f>'Tonnages par déchets CP'!$I$1</c:f>
              <c:strCache>
                <c:ptCount val="1"/>
                <c:pt idx="0">
                  <c:v>Plâtre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'Tonnages par déchets CP'!$A$2:$A$6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CP'!$I$2:$I$6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0.96</c:v>
                </c:pt>
                <c:pt idx="4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F6F-469B-8CFE-F4B726A4A2FC}"/>
            </c:ext>
          </c:extLst>
        </c:ser>
        <c:ser>
          <c:idx val="8"/>
          <c:order val="8"/>
          <c:tx>
            <c:strRef>
              <c:f>'Tonnages par déchets CP'!$J$1</c:f>
              <c:strCache>
                <c:ptCount val="1"/>
                <c:pt idx="0">
                  <c:v>Végétaux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'Tonnages par déchets CP'!$A$2:$A$6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CP'!$J$2:$J$6</c:f>
              <c:numCache>
                <c:formatCode>General</c:formatCode>
                <c:ptCount val="5"/>
                <c:pt idx="0">
                  <c:v>0</c:v>
                </c:pt>
                <c:pt idx="1">
                  <c:v>8.0399999999999991</c:v>
                </c:pt>
                <c:pt idx="2">
                  <c:v>9.34</c:v>
                </c:pt>
                <c:pt idx="3">
                  <c:v>16.78</c:v>
                </c:pt>
                <c:pt idx="4">
                  <c:v>21.04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6F-469B-8CFE-F4B726A4A2FC}"/>
            </c:ext>
          </c:extLst>
        </c:ser>
        <c:ser>
          <c:idx val="9"/>
          <c:order val="9"/>
          <c:tx>
            <c:strRef>
              <c:f>'Tonnages par déchets CP'!$K$1</c:f>
              <c:strCache>
                <c:ptCount val="1"/>
                <c:pt idx="0">
                  <c:v>Pneus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'Tonnages par déchets CP'!$A$2:$A$6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CP'!$K$2:$K$6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F6F-469B-8CFE-F4B726A4A2FC}"/>
            </c:ext>
          </c:extLst>
        </c:ser>
        <c:ser>
          <c:idx val="10"/>
          <c:order val="10"/>
          <c:tx>
            <c:strRef>
              <c:f>'Tonnages par déchets CP'!$L$1</c:f>
              <c:strCache>
                <c:ptCount val="1"/>
                <c:pt idx="0">
                  <c:v>Déchets de chantier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'Tonnages par déchets CP'!$A$2:$A$6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CP'!$L$2:$L$6</c:f>
              <c:numCache>
                <c:formatCode>General</c:formatCode>
                <c:ptCount val="5"/>
                <c:pt idx="0">
                  <c:v>2.74</c:v>
                </c:pt>
                <c:pt idx="1">
                  <c:v>27.38</c:v>
                </c:pt>
                <c:pt idx="2">
                  <c:v>1.48</c:v>
                </c:pt>
                <c:pt idx="3">
                  <c:v>32.659999999999997</c:v>
                </c:pt>
                <c:pt idx="4">
                  <c:v>20.18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F6F-469B-8CFE-F4B726A4A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1116271"/>
        <c:axId val="1961115791"/>
      </c:barChart>
      <c:catAx>
        <c:axId val="1961116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1115791"/>
        <c:crosses val="autoZero"/>
        <c:auto val="1"/>
        <c:lblAlgn val="ctr"/>
        <c:lblOffset val="100"/>
        <c:noMultiLvlLbl val="0"/>
      </c:catAx>
      <c:valAx>
        <c:axId val="1961115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1116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4704757417634154E-2"/>
          <c:y val="0.90681476524459614"/>
          <c:w val="0.94822752907278052"/>
          <c:h val="7.3397492148359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TONNAGE OS PAR CATEGORIE DE DECHETS</a:t>
            </a:r>
          </a:p>
        </c:rich>
      </c:tx>
      <c:layout>
        <c:manualLayout>
          <c:xMode val="edge"/>
          <c:yMode val="edge"/>
          <c:x val="0.33446844869367942"/>
          <c:y val="1.96511288124920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'Tonnages par déchets OS'!$B$1</c:f>
              <c:strCache>
                <c:ptCount val="1"/>
                <c:pt idx="0">
                  <c:v>Gravats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'Tonnages par déchets OS'!$A$2:$A$6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OS'!$B$2:$B$6</c:f>
              <c:numCache>
                <c:formatCode>General</c:formatCode>
                <c:ptCount val="5"/>
                <c:pt idx="0">
                  <c:v>0</c:v>
                </c:pt>
                <c:pt idx="1">
                  <c:v>5.24</c:v>
                </c:pt>
                <c:pt idx="2">
                  <c:v>6.06</c:v>
                </c:pt>
                <c:pt idx="3">
                  <c:v>21.919999999999995</c:v>
                </c:pt>
                <c:pt idx="4">
                  <c:v>20.86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1-4FF6-8C37-C20647FAA188}"/>
            </c:ext>
          </c:extLst>
        </c:ser>
        <c:ser>
          <c:idx val="1"/>
          <c:order val="1"/>
          <c:tx>
            <c:strRef>
              <c:f>'Tonnages par déchets OS'!$C$1</c:f>
              <c:strCache>
                <c:ptCount val="1"/>
                <c:pt idx="0">
                  <c:v>Bois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'Tonnages par déchets OS'!$A$2:$A$6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OS'!$C$2:$C$6</c:f>
              <c:numCache>
                <c:formatCode>General</c:formatCode>
                <c:ptCount val="5"/>
                <c:pt idx="0">
                  <c:v>0</c:v>
                </c:pt>
                <c:pt idx="1">
                  <c:v>1.1800000000000002</c:v>
                </c:pt>
                <c:pt idx="2">
                  <c:v>1.28</c:v>
                </c:pt>
                <c:pt idx="3">
                  <c:v>2.68</c:v>
                </c:pt>
                <c:pt idx="4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1-4FF6-8C37-C20647FAA188}"/>
            </c:ext>
          </c:extLst>
        </c:ser>
        <c:ser>
          <c:idx val="2"/>
          <c:order val="2"/>
          <c:tx>
            <c:strRef>
              <c:f>'Tonnages par déchets OS'!$D$1</c:f>
              <c:strCache>
                <c:ptCount val="1"/>
                <c:pt idx="0">
                  <c:v>Pneu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>
              <a:noFill/>
            </a:ln>
            <a:effectLst/>
          </c:spPr>
          <c:invertIfNegative val="0"/>
          <c:cat>
            <c:strRef>
              <c:f>'Tonnages par déchets OS'!$A$2:$A$6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OS'!$D$2:$D$6</c:f>
              <c:numCache>
                <c:formatCode>General</c:formatCode>
                <c:ptCount val="5"/>
                <c:pt idx="0">
                  <c:v>0</c:v>
                </c:pt>
                <c:pt idx="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1-4FF6-8C37-C20647FAA188}"/>
            </c:ext>
          </c:extLst>
        </c:ser>
        <c:ser>
          <c:idx val="3"/>
          <c:order val="3"/>
          <c:tx>
            <c:strRef>
              <c:f>'Tonnages par déchets OS'!$E$1</c:f>
              <c:strCache>
                <c:ptCount val="1"/>
                <c:pt idx="0">
                  <c:v>Encombrants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'Tonnages par déchets OS'!$A$2:$A$6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OS'!$E$2:$E$6</c:f>
              <c:numCache>
                <c:formatCode>General</c:formatCode>
                <c:ptCount val="5"/>
                <c:pt idx="0">
                  <c:v>0</c:v>
                </c:pt>
                <c:pt idx="1">
                  <c:v>0.06</c:v>
                </c:pt>
                <c:pt idx="2">
                  <c:v>0.22</c:v>
                </c:pt>
                <c:pt idx="3">
                  <c:v>5.04</c:v>
                </c:pt>
                <c:pt idx="4">
                  <c:v>3.38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1-4FF6-8C37-C20647FAA188}"/>
            </c:ext>
          </c:extLst>
        </c:ser>
        <c:ser>
          <c:idx val="4"/>
          <c:order val="4"/>
          <c:tx>
            <c:strRef>
              <c:f>'Tonnages par déchets OS'!$F$1</c:f>
              <c:strCache>
                <c:ptCount val="1"/>
                <c:pt idx="0">
                  <c:v>DIB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'Tonnages par déchets OS'!$A$2:$A$6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OS'!$F$2:$F$6</c:f>
              <c:numCache>
                <c:formatCode>General</c:formatCode>
                <c:ptCount val="5"/>
                <c:pt idx="0">
                  <c:v>0</c:v>
                </c:pt>
                <c:pt idx="1">
                  <c:v>5.14</c:v>
                </c:pt>
                <c:pt idx="2">
                  <c:v>10.08</c:v>
                </c:pt>
                <c:pt idx="3">
                  <c:v>22.08</c:v>
                </c:pt>
                <c:pt idx="4">
                  <c:v>19.66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1-4FF6-8C37-C20647FAA188}"/>
            </c:ext>
          </c:extLst>
        </c:ser>
        <c:ser>
          <c:idx val="5"/>
          <c:order val="5"/>
          <c:tx>
            <c:strRef>
              <c:f>'Tonnages par déchets OS'!$G$1</c:f>
              <c:strCache>
                <c:ptCount val="1"/>
                <c:pt idx="0">
                  <c:v>Déchets dangereux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'Tonnages par déchets OS'!$A$2:$A$6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OS'!$G$2:$G$6</c:f>
              <c:numCache>
                <c:formatCode>General</c:formatCode>
                <c:ptCount val="5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D1-4FF6-8C37-C20647FAA188}"/>
            </c:ext>
          </c:extLst>
        </c:ser>
        <c:ser>
          <c:idx val="6"/>
          <c:order val="6"/>
          <c:tx>
            <c:strRef>
              <c:f>'Tonnages par déchets OS'!$H$1</c:f>
              <c:strCache>
                <c:ptCount val="1"/>
                <c:pt idx="0">
                  <c:v>DEEE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'Tonnages par déchets OS'!$A$2:$A$6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OS'!$H$2:$H$6</c:f>
              <c:numCache>
                <c:formatCode>General</c:formatCode>
                <c:ptCount val="5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D1-4FF6-8C37-C20647FAA188}"/>
            </c:ext>
          </c:extLst>
        </c:ser>
        <c:ser>
          <c:idx val="7"/>
          <c:order val="7"/>
          <c:tx>
            <c:strRef>
              <c:f>'Tonnages par déchets OS'!$I$1</c:f>
              <c:strCache>
                <c:ptCount val="1"/>
                <c:pt idx="0">
                  <c:v>Plâtre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'Tonnages par déchets OS'!$A$2:$A$6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OS'!$I$2:$I$6</c:f>
              <c:numCache>
                <c:formatCode>General</c:formatCode>
                <c:ptCount val="5"/>
                <c:pt idx="0">
                  <c:v>0</c:v>
                </c:pt>
                <c:pt idx="1">
                  <c:v>0.94</c:v>
                </c:pt>
                <c:pt idx="2">
                  <c:v>0.24000000000000002</c:v>
                </c:pt>
                <c:pt idx="3">
                  <c:v>0.79999999999999993</c:v>
                </c:pt>
                <c:pt idx="4">
                  <c:v>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D1-4FF6-8C37-C20647FAA188}"/>
            </c:ext>
          </c:extLst>
        </c:ser>
        <c:ser>
          <c:idx val="8"/>
          <c:order val="8"/>
          <c:tx>
            <c:strRef>
              <c:f>'Tonnages par déchets OS'!$J$1</c:f>
              <c:strCache>
                <c:ptCount val="1"/>
                <c:pt idx="0">
                  <c:v>Végétaux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'Tonnages par déchets OS'!$A$2:$A$6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OS'!$J$2:$J$6</c:f>
              <c:numCache>
                <c:formatCode>General</c:formatCode>
                <c:ptCount val="5"/>
                <c:pt idx="0">
                  <c:v>0</c:v>
                </c:pt>
                <c:pt idx="1">
                  <c:v>1.78</c:v>
                </c:pt>
                <c:pt idx="2">
                  <c:v>1.3599999999999999</c:v>
                </c:pt>
                <c:pt idx="3">
                  <c:v>12.34</c:v>
                </c:pt>
                <c:pt idx="4">
                  <c:v>3.26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2D1-4FF6-8C37-C20647FAA188}"/>
            </c:ext>
          </c:extLst>
        </c:ser>
        <c:ser>
          <c:idx val="9"/>
          <c:order val="9"/>
          <c:tx>
            <c:strRef>
              <c:f>'Tonnages par déchets OS'!$K$1</c:f>
              <c:strCache>
                <c:ptCount val="1"/>
                <c:pt idx="0">
                  <c:v>Pneus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'Tonnages par déchets OS'!$A$2:$A$6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OS'!$K$2:$K$6</c:f>
              <c:numCache>
                <c:formatCode>General</c:formatCode>
                <c:ptCount val="5"/>
                <c:pt idx="0">
                  <c:v>0</c:v>
                </c:pt>
                <c:pt idx="1">
                  <c:v>0.12</c:v>
                </c:pt>
                <c:pt idx="2">
                  <c:v>0.04</c:v>
                </c:pt>
                <c:pt idx="3">
                  <c:v>0.8600000000000001</c:v>
                </c:pt>
                <c:pt idx="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2D1-4FF6-8C37-C20647FAA188}"/>
            </c:ext>
          </c:extLst>
        </c:ser>
        <c:ser>
          <c:idx val="10"/>
          <c:order val="10"/>
          <c:tx>
            <c:strRef>
              <c:f>'Tonnages par déchets OS'!$L$1</c:f>
              <c:strCache>
                <c:ptCount val="1"/>
                <c:pt idx="0">
                  <c:v>Déchets de chantier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'Tonnages par déchets OS'!$A$2:$A$6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OS'!$L$2:$L$6</c:f>
              <c:numCache>
                <c:formatCode>General</c:formatCode>
                <c:ptCount val="5"/>
                <c:pt idx="0">
                  <c:v>0</c:v>
                </c:pt>
                <c:pt idx="1">
                  <c:v>8.48</c:v>
                </c:pt>
                <c:pt idx="2">
                  <c:v>0.2</c:v>
                </c:pt>
                <c:pt idx="3">
                  <c:v>22.580000000000002</c:v>
                </c:pt>
                <c:pt idx="4">
                  <c:v>12.4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D1-4FF6-8C37-C20647FAA188}"/>
            </c:ext>
          </c:extLst>
        </c:ser>
        <c:ser>
          <c:idx val="11"/>
          <c:order val="11"/>
          <c:tx>
            <c:strRef>
              <c:f>'Tonnages par déchets OS'!$M$1</c:f>
              <c:strCache>
                <c:ptCount val="1"/>
                <c:pt idx="0">
                  <c:v>Cartons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strRef>
              <c:f>'Tonnages par déchets OS'!$A$2:$A$6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OS'!$M$2:$M$6</c:f>
              <c:numCache>
                <c:formatCode>General</c:formatCode>
                <c:ptCount val="5"/>
                <c:pt idx="0">
                  <c:v>0</c:v>
                </c:pt>
                <c:pt idx="1">
                  <c:v>0.2</c:v>
                </c:pt>
                <c:pt idx="2">
                  <c:v>0.26</c:v>
                </c:pt>
                <c:pt idx="3">
                  <c:v>1.2200000000000002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D1-4FF6-8C37-C20647FAA188}"/>
            </c:ext>
          </c:extLst>
        </c:ser>
        <c:ser>
          <c:idx val="12"/>
          <c:order val="12"/>
          <c:tx>
            <c:strRef>
              <c:f>'Tonnages par déchets OS'!$N$1</c:f>
              <c:strCache>
                <c:ptCount val="1"/>
                <c:pt idx="0">
                  <c:v>DEEE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'Tonnages par déchets OS'!$A$2:$A$6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OS'!$N$2:$N$6</c:f>
              <c:numCache>
                <c:formatCode>General</c:formatCode>
                <c:ptCount val="5"/>
                <c:pt idx="0">
                  <c:v>0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2D1-4FF6-8C37-C20647FAA188}"/>
            </c:ext>
          </c:extLst>
        </c:ser>
        <c:ser>
          <c:idx val="13"/>
          <c:order val="13"/>
          <c:tx>
            <c:strRef>
              <c:f>'Tonnages par déchets OS'!$O$1</c:f>
              <c:strCache>
                <c:ptCount val="1"/>
                <c:pt idx="0">
                  <c:v>Ferrailles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'Tonnages par déchets OS'!$A$2:$A$6</c:f>
              <c:strCache>
                <c:ptCount val="5"/>
                <c:pt idx="0">
                  <c:v>Mai 2025</c:v>
                </c:pt>
                <c:pt idx="1">
                  <c:v>Juin 2025</c:v>
                </c:pt>
                <c:pt idx="2">
                  <c:v>Juillet 2025</c:v>
                </c:pt>
                <c:pt idx="3">
                  <c:v>Août 2025</c:v>
                </c:pt>
                <c:pt idx="4">
                  <c:v>Septembre 2025</c:v>
                </c:pt>
              </c:strCache>
            </c:strRef>
          </c:cat>
          <c:val>
            <c:numRef>
              <c:f>'Tonnages par déchets OS'!$O$2:$O$6</c:f>
              <c:numCache>
                <c:formatCode>General</c:formatCode>
                <c:ptCount val="5"/>
                <c:pt idx="0">
                  <c:v>0</c:v>
                </c:pt>
                <c:pt idx="3">
                  <c:v>0.28000000000000003</c:v>
                </c:pt>
                <c:pt idx="4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2D1-4FF6-8C37-C20647FAA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9686751"/>
        <c:axId val="324202159"/>
      </c:barChart>
      <c:catAx>
        <c:axId val="194968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4202159"/>
        <c:crosses val="autoZero"/>
        <c:auto val="1"/>
        <c:lblAlgn val="ctr"/>
        <c:lblOffset val="100"/>
        <c:noMultiLvlLbl val="0"/>
      </c:catAx>
      <c:valAx>
        <c:axId val="324202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968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434340</xdr:colOff>
      <xdr:row>11</xdr:row>
      <xdr:rowOff>172401</xdr:rowOff>
    </xdr:from>
    <xdr:to>
      <xdr:col>20</xdr:col>
      <xdr:colOff>57150</xdr:colOff>
      <xdr:row>55</xdr:row>
      <xdr:rowOff>142875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150C5C5-2A2C-7021-B585-71B34ECE94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15</xdr:row>
      <xdr:rowOff>93344</xdr:rowOff>
    </xdr:from>
    <xdr:to>
      <xdr:col>17</xdr:col>
      <xdr:colOff>24765</xdr:colOff>
      <xdr:row>44</xdr:row>
      <xdr:rowOff>165733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956A6E5-81E3-A7E3-88C9-37100D1138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SSI, Koffi (TERSEN)" refreshedDate="45925.359901851851" createdVersion="8" refreshedVersion="8" minRefreshableVersion="3" recordCount="41" xr:uid="{F0FA1B5A-F35D-4F55-8FD9-0475C87FD7CE}">
  <cacheSource type="worksheet">
    <worksheetSource ref="B2:G43" sheet="Tonnages par commune OS"/>
  </cacheSource>
  <cacheFields count="6">
    <cacheField name="Commune" numFmtId="0">
      <sharedItems count="38">
        <s v="Villiers le Bel"/>
        <s v="Bonneuil en France"/>
        <s v="Garges les Gonesse"/>
        <s v="Saint Witz"/>
        <s v="Survilliers"/>
        <s v="Marly-la-Ville"/>
        <s v="Villeron"/>
        <s v="Vemars"/>
        <s v="Le Thillay"/>
        <s v="Louvres"/>
        <s v="Saint Mard"/>
        <s v="Moussy Le neuf"/>
        <s v="Moussy Le vieux"/>
        <s v="Compans"/>
        <s v="Roissy en France"/>
        <s v="Dammartin en Goelle"/>
        <s v="Gonesse"/>
        <s v="Othis"/>
        <s v="Claye Souilly"/>
        <s v="Juilly"/>
        <s v="Goussainville"/>
        <s v="Rouvres"/>
        <s v="Fontenay-en-Parisis"/>
        <s v="Mitry Mory"/>
        <s v="Le Mesnil Amelot"/>
        <s v="Le Mesnil Aubry"/>
        <s v="Puiseux en France"/>
        <s v="Mauregard"/>
        <s v="Sarcelles"/>
        <s v="Épiais Lès Louvres"/>
        <s v="Bouqueval"/>
        <s v="Ecouen"/>
        <s v="Plessis-Gassot"/>
        <s v="Gressy"/>
        <s v="Thieux"/>
        <s v="Longperrier"/>
        <s v="Villeparisi"/>
        <s v="Fosses"/>
      </sharedItems>
    </cacheField>
    <cacheField name="Mai 2025" numFmtId="0">
      <sharedItems containsSemiMixedTypes="0" containsString="0" containsNumber="1" containsInteger="1" minValue="0" maxValue="0"/>
    </cacheField>
    <cacheField name="Juin 2025" numFmtId="0">
      <sharedItems containsSemiMixedTypes="0" containsString="0" containsNumber="1" minValue="0" maxValue="17.98"/>
    </cacheField>
    <cacheField name="Juillet 2025" numFmtId="0">
      <sharedItems containsString="0" containsBlank="1" containsNumber="1" minValue="0" maxValue="12.74"/>
    </cacheField>
    <cacheField name="Août 2025" numFmtId="0">
      <sharedItems containsSemiMixedTypes="0" containsString="0" containsNumber="1" minValue="0" maxValue="26.19"/>
    </cacheField>
    <cacheField name="Septembre 2025" numFmtId="0">
      <sharedItems containsString="0" containsBlank="1" containsNumber="1" minValue="0" maxValue="39.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SSI, Koffi (TERSEN)" refreshedDate="45925.361687152777" createdVersion="8" refreshedVersion="8" minRefreshableVersion="3" recordCount="41" xr:uid="{E32548A6-ED9E-472D-AB2A-7726AA264162}">
  <cacheSource type="worksheet">
    <worksheetSource ref="B2:G43" sheet="Tonnages par commune CP"/>
  </cacheSource>
  <cacheFields count="6">
    <cacheField name="Tonnage mensuel" numFmtId="0">
      <sharedItems count="38">
        <s v="Villiers le Bel"/>
        <s v="Bonneuil en France"/>
        <s v="Garges les Gonesse"/>
        <s v="Saint Witz"/>
        <s v="Survilliers"/>
        <s v="Marly-la-Ville"/>
        <s v="Villeron"/>
        <s v="Vemars"/>
        <s v="Le Thillay"/>
        <s v="Louvres"/>
        <s v="Saint Mard"/>
        <s v="Moussy Le neuf"/>
        <s v="Moussy Le vieux"/>
        <s v="Compans"/>
        <s v="Roissy en France"/>
        <s v="Dammartin en Goelle"/>
        <s v="Gonesse"/>
        <s v="Othis"/>
        <s v="Claye Souilly"/>
        <s v="Juilly"/>
        <s v="Goussainville"/>
        <s v="Rouvres"/>
        <s v="Fontenay-en-Parisis"/>
        <s v="Mitry Mory"/>
        <s v="Le Mesnil Amelot"/>
        <s v="Le Mesnil Aubry"/>
        <s v="Puiseux en France"/>
        <s v="Mauregard"/>
        <s v="Sarcelles"/>
        <s v="Épiais Lès Louvres"/>
        <s v="Bouqueval"/>
        <s v="Ecouen"/>
        <s v="Plessis-Gassot"/>
        <s v="Gressy"/>
        <s v="Thieux"/>
        <s v="Longperrier"/>
        <s v="Villeparisi"/>
        <s v="Fosses"/>
      </sharedItems>
    </cacheField>
    <cacheField name="Mai 2025" numFmtId="0">
      <sharedItems containsSemiMixedTypes="0" containsString="0" containsNumber="1" minValue="0" maxValue="4.32"/>
    </cacheField>
    <cacheField name="Juin 2025" numFmtId="0">
      <sharedItems containsSemiMixedTypes="0" containsString="0" containsNumber="1" minValue="0" maxValue="44.24"/>
    </cacheField>
    <cacheField name="Juillet 2025" numFmtId="0">
      <sharedItems containsSemiMixedTypes="0" containsString="0" containsNumber="1" minValue="0" maxValue="36.059999999999995"/>
    </cacheField>
    <cacheField name="Août 2025" numFmtId="0">
      <sharedItems containsString="0" containsBlank="1" containsNumber="1" minValue="0" maxValue="43.9"/>
    </cacheField>
    <cacheField name="Septembre 2025" numFmtId="0">
      <sharedItems containsSemiMixedTypes="0" containsString="0" containsNumber="1" minValue="0" maxValue="47.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">
  <r>
    <x v="0"/>
    <n v="0"/>
    <n v="0"/>
    <n v="0"/>
    <n v="14.84"/>
    <n v="0.5"/>
  </r>
  <r>
    <x v="1"/>
    <n v="0"/>
    <n v="0"/>
    <n v="0"/>
    <n v="0"/>
    <m/>
  </r>
  <r>
    <x v="2"/>
    <n v="0"/>
    <n v="0"/>
    <n v="0"/>
    <n v="0"/>
    <m/>
  </r>
  <r>
    <x v="3"/>
    <n v="0"/>
    <n v="0"/>
    <n v="0"/>
    <n v="0"/>
    <n v="0.36"/>
  </r>
  <r>
    <x v="4"/>
    <n v="0"/>
    <n v="0"/>
    <n v="0"/>
    <n v="0"/>
    <n v="0"/>
  </r>
  <r>
    <x v="5"/>
    <n v="0"/>
    <n v="0"/>
    <n v="0"/>
    <n v="0"/>
    <n v="0"/>
  </r>
  <r>
    <x v="6"/>
    <n v="0"/>
    <n v="0"/>
    <n v="0"/>
    <n v="0"/>
    <n v="0"/>
  </r>
  <r>
    <x v="7"/>
    <n v="0"/>
    <n v="0"/>
    <n v="0"/>
    <n v="0"/>
    <n v="0"/>
  </r>
  <r>
    <x v="8"/>
    <n v="0"/>
    <n v="0"/>
    <n v="0"/>
    <n v="0"/>
    <n v="0"/>
  </r>
  <r>
    <x v="9"/>
    <n v="0"/>
    <n v="0"/>
    <n v="0"/>
    <n v="7.14"/>
    <n v="25.560000000000002"/>
  </r>
  <r>
    <x v="10"/>
    <n v="0"/>
    <n v="0"/>
    <n v="0"/>
    <n v="0"/>
    <m/>
  </r>
  <r>
    <x v="11"/>
    <n v="0"/>
    <n v="0"/>
    <n v="0.2"/>
    <n v="0"/>
    <n v="0.64"/>
  </r>
  <r>
    <x v="12"/>
    <n v="0"/>
    <n v="0"/>
    <n v="0"/>
    <n v="0.78"/>
    <n v="0"/>
  </r>
  <r>
    <x v="13"/>
    <n v="0"/>
    <n v="0"/>
    <n v="0"/>
    <n v="0"/>
    <n v="0"/>
  </r>
  <r>
    <x v="14"/>
    <n v="0"/>
    <n v="0"/>
    <n v="0"/>
    <n v="0.04"/>
    <n v="0"/>
  </r>
  <r>
    <x v="15"/>
    <n v="0"/>
    <n v="0"/>
    <n v="0"/>
    <n v="0"/>
    <n v="0"/>
  </r>
  <r>
    <x v="16"/>
    <n v="0"/>
    <n v="0"/>
    <n v="0"/>
    <n v="2.9"/>
    <n v="0"/>
  </r>
  <r>
    <x v="17"/>
    <n v="0"/>
    <n v="0"/>
    <n v="0"/>
    <n v="0"/>
    <n v="0"/>
  </r>
  <r>
    <x v="18"/>
    <n v="0"/>
    <n v="0"/>
    <n v="0"/>
    <n v="3.62"/>
    <n v="0"/>
  </r>
  <r>
    <x v="19"/>
    <n v="0"/>
    <n v="0"/>
    <n v="0"/>
    <n v="1.38"/>
    <n v="1.42"/>
  </r>
  <r>
    <x v="20"/>
    <n v="0"/>
    <n v="0"/>
    <n v="0"/>
    <n v="0"/>
    <n v="0"/>
  </r>
  <r>
    <x v="21"/>
    <n v="0"/>
    <n v="0"/>
    <n v="0"/>
    <n v="4.62"/>
    <n v="0"/>
  </r>
  <r>
    <x v="22"/>
    <n v="0"/>
    <n v="5.44"/>
    <m/>
    <n v="14.58"/>
    <n v="39.4"/>
  </r>
  <r>
    <x v="23"/>
    <n v="0"/>
    <n v="17.98"/>
    <n v="12.74"/>
    <n v="26.19"/>
    <n v="0.18"/>
  </r>
  <r>
    <x v="24"/>
    <n v="0"/>
    <n v="0"/>
    <n v="0"/>
    <n v="0"/>
    <n v="0"/>
  </r>
  <r>
    <x v="25"/>
    <n v="0"/>
    <n v="0"/>
    <n v="0.34"/>
    <n v="4.0999999999999996"/>
    <n v="0"/>
  </r>
  <r>
    <x v="26"/>
    <n v="0"/>
    <n v="0"/>
    <n v="0"/>
    <n v="0"/>
    <n v="0"/>
  </r>
  <r>
    <x v="27"/>
    <n v="0"/>
    <n v="0"/>
    <n v="0"/>
    <n v="0"/>
    <n v="0"/>
  </r>
  <r>
    <x v="28"/>
    <n v="0"/>
    <n v="0"/>
    <n v="0"/>
    <n v="0"/>
    <n v="0"/>
  </r>
  <r>
    <x v="29"/>
    <n v="0"/>
    <n v="0"/>
    <n v="0"/>
    <n v="0"/>
    <n v="0"/>
  </r>
  <r>
    <x v="30"/>
    <n v="0"/>
    <n v="0"/>
    <n v="0"/>
    <n v="0"/>
    <n v="0"/>
  </r>
  <r>
    <x v="31"/>
    <n v="0"/>
    <n v="0"/>
    <n v="1.8"/>
    <n v="0"/>
    <n v="0"/>
  </r>
  <r>
    <x v="32"/>
    <n v="0"/>
    <n v="0"/>
    <n v="0"/>
    <n v="0"/>
    <n v="0"/>
  </r>
  <r>
    <x v="33"/>
    <n v="0"/>
    <n v="0"/>
    <n v="0"/>
    <n v="0"/>
    <n v="0"/>
  </r>
  <r>
    <x v="34"/>
    <n v="0"/>
    <n v="0"/>
    <n v="0"/>
    <n v="0"/>
    <n v="0"/>
  </r>
  <r>
    <x v="25"/>
    <n v="0"/>
    <n v="0"/>
    <n v="4.0999999999999996"/>
    <n v="1.38"/>
    <n v="0"/>
  </r>
  <r>
    <x v="35"/>
    <n v="0"/>
    <n v="0"/>
    <n v="0"/>
    <n v="0"/>
    <n v="0"/>
  </r>
  <r>
    <x v="26"/>
    <n v="0"/>
    <n v="0"/>
    <n v="0"/>
    <n v="0"/>
    <n v="0"/>
  </r>
  <r>
    <x v="36"/>
    <n v="0"/>
    <n v="0"/>
    <n v="0"/>
    <n v="0"/>
    <n v="0"/>
  </r>
  <r>
    <x v="37"/>
    <n v="0"/>
    <n v="0"/>
    <n v="0"/>
    <n v="0"/>
    <n v="0"/>
  </r>
  <r>
    <x v="13"/>
    <n v="0"/>
    <n v="0"/>
    <n v="1.1000000000000001"/>
    <n v="8.68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">
  <r>
    <x v="0"/>
    <n v="0.44"/>
    <n v="0.54"/>
    <n v="6.38"/>
    <n v="0"/>
    <n v="0.32"/>
  </r>
  <r>
    <x v="1"/>
    <n v="1.32"/>
    <n v="1.34"/>
    <n v="0"/>
    <n v="0"/>
    <n v="0"/>
  </r>
  <r>
    <x v="2"/>
    <n v="0.57999999999999996"/>
    <n v="0"/>
    <n v="0"/>
    <n v="0"/>
    <n v="0"/>
  </r>
  <r>
    <x v="3"/>
    <n v="0.52"/>
    <n v="0"/>
    <n v="0"/>
    <n v="0"/>
    <n v="1.38"/>
  </r>
  <r>
    <x v="4"/>
    <n v="0.2"/>
    <n v="0"/>
    <n v="14.52"/>
    <n v="0"/>
    <n v="0"/>
  </r>
  <r>
    <x v="5"/>
    <n v="0.4"/>
    <n v="0.64"/>
    <n v="0"/>
    <n v="0"/>
    <n v="0"/>
  </r>
  <r>
    <x v="6"/>
    <n v="0.84"/>
    <n v="44.24"/>
    <n v="0"/>
    <n v="0"/>
    <n v="0"/>
  </r>
  <r>
    <x v="7"/>
    <n v="0.93"/>
    <n v="7.7"/>
    <n v="12.580000000000002"/>
    <n v="0"/>
    <n v="0.12"/>
  </r>
  <r>
    <x v="8"/>
    <n v="3.52"/>
    <n v="0.16"/>
    <n v="0"/>
    <n v="0"/>
    <n v="0"/>
  </r>
  <r>
    <x v="9"/>
    <n v="1.2"/>
    <n v="0"/>
    <n v="0"/>
    <n v="4.3600000000000003"/>
    <n v="0.06"/>
  </r>
  <r>
    <x v="10"/>
    <n v="4.32"/>
    <n v="1.44"/>
    <n v="15.06"/>
    <n v="0"/>
    <n v="0"/>
  </r>
  <r>
    <x v="11"/>
    <n v="0.62"/>
    <n v="0"/>
    <n v="9.92"/>
    <n v="0"/>
    <n v="47.08"/>
  </r>
  <r>
    <x v="12"/>
    <n v="0"/>
    <n v="12.120000000000001"/>
    <n v="0"/>
    <n v="0"/>
    <n v="0"/>
  </r>
  <r>
    <x v="13"/>
    <n v="0.42"/>
    <n v="0"/>
    <n v="0"/>
    <n v="0"/>
    <n v="0"/>
  </r>
  <r>
    <x v="14"/>
    <n v="0.16"/>
    <n v="0"/>
    <n v="0.14000000000000001"/>
    <n v="0.2"/>
    <n v="0"/>
  </r>
  <r>
    <x v="15"/>
    <n v="0.9"/>
    <n v="5.0599999999999996"/>
    <n v="11.16"/>
    <n v="8.3800000000000008"/>
    <n v="8.26"/>
  </r>
  <r>
    <x v="16"/>
    <n v="0.8600000000000001"/>
    <n v="2.44"/>
    <n v="0"/>
    <n v="10.06"/>
    <n v="0.12"/>
  </r>
  <r>
    <x v="17"/>
    <n v="1.1399999999999999"/>
    <n v="0"/>
    <n v="36.059999999999995"/>
    <n v="0.22"/>
    <n v="35.44"/>
  </r>
  <r>
    <x v="18"/>
    <n v="0.4"/>
    <n v="6.02"/>
    <n v="0"/>
    <n v="14.38"/>
    <n v="0.32"/>
  </r>
  <r>
    <x v="19"/>
    <n v="0.4"/>
    <n v="0"/>
    <n v="6.34"/>
    <n v="1.6"/>
    <n v="0"/>
  </r>
  <r>
    <x v="20"/>
    <n v="0.86"/>
    <n v="17.100000000000001"/>
    <n v="4.58"/>
    <n v="0"/>
    <n v="0"/>
  </r>
  <r>
    <x v="21"/>
    <n v="1.3800000000000001"/>
    <n v="8.52"/>
    <n v="9.48"/>
    <n v="9.0400000000000009"/>
    <n v="0"/>
  </r>
  <r>
    <x v="22"/>
    <n v="0"/>
    <n v="0.57999999999999996"/>
    <n v="0"/>
    <n v="0"/>
    <n v="0"/>
  </r>
  <r>
    <x v="23"/>
    <n v="0.62"/>
    <n v="0"/>
    <n v="6.26"/>
    <n v="0"/>
    <n v="0"/>
  </r>
  <r>
    <x v="24"/>
    <n v="0.16"/>
    <n v="0"/>
    <n v="0"/>
    <n v="0"/>
    <n v="0"/>
  </r>
  <r>
    <x v="25"/>
    <n v="0"/>
    <n v="0"/>
    <n v="9.3000000000000007"/>
    <n v="0"/>
    <n v="0"/>
  </r>
  <r>
    <x v="26"/>
    <n v="0.04"/>
    <n v="0"/>
    <n v="0"/>
    <n v="0"/>
    <n v="0"/>
  </r>
  <r>
    <x v="27"/>
    <n v="0.6"/>
    <n v="0"/>
    <n v="0"/>
    <n v="0.4"/>
    <n v="0.22"/>
  </r>
  <r>
    <x v="28"/>
    <n v="1.84"/>
    <n v="0"/>
    <n v="0"/>
    <n v="0"/>
    <n v="0"/>
  </r>
  <r>
    <x v="29"/>
    <n v="0.12"/>
    <n v="0.78"/>
    <n v="22.72"/>
    <n v="0"/>
    <n v="0"/>
  </r>
  <r>
    <x v="30"/>
    <n v="0.12"/>
    <n v="0"/>
    <n v="0"/>
    <n v="0"/>
    <n v="0"/>
  </r>
  <r>
    <x v="31"/>
    <n v="0.52"/>
    <n v="0"/>
    <n v="2.6999999999999997"/>
    <n v="0"/>
    <n v="0"/>
  </r>
  <r>
    <x v="32"/>
    <n v="1.06"/>
    <n v="0"/>
    <n v="1.84"/>
    <n v="0"/>
    <n v="0"/>
  </r>
  <r>
    <x v="33"/>
    <n v="0"/>
    <n v="0.38"/>
    <n v="0"/>
    <n v="0"/>
    <n v="0"/>
  </r>
  <r>
    <x v="34"/>
    <n v="0"/>
    <n v="11.66"/>
    <n v="0"/>
    <n v="43.9"/>
    <n v="4.5599999999999996"/>
  </r>
  <r>
    <x v="25"/>
    <n v="0"/>
    <n v="11.02"/>
    <n v="0"/>
    <m/>
    <n v="0"/>
  </r>
  <r>
    <x v="35"/>
    <n v="0"/>
    <n v="0.34"/>
    <n v="0"/>
    <n v="0"/>
    <n v="0"/>
  </r>
  <r>
    <x v="26"/>
    <n v="0"/>
    <n v="4.2"/>
    <n v="0"/>
    <n v="0"/>
    <n v="0"/>
  </r>
  <r>
    <x v="36"/>
    <n v="0"/>
    <n v="0"/>
    <n v="0"/>
    <n v="0"/>
    <n v="0"/>
  </r>
  <r>
    <x v="37"/>
    <n v="0"/>
    <n v="0"/>
    <n v="1.4"/>
    <n v="0"/>
    <n v="0"/>
  </r>
  <r>
    <x v="13"/>
    <n v="0"/>
    <n v="0"/>
    <n v="4.12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DB4711-0AB2-4CE5-9511-D5620D27FB63}" name="Tableau croisé dynamique6" cacheId="26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J2:O41" firstHeaderRow="0" firstDataRow="1" firstDataCol="1"/>
  <pivotFields count="6">
    <pivotField axis="axisRow" showAll="0">
      <items count="39">
        <item x="1"/>
        <item x="30"/>
        <item x="18"/>
        <item x="13"/>
        <item x="15"/>
        <item x="31"/>
        <item x="29"/>
        <item x="22"/>
        <item x="37"/>
        <item x="2"/>
        <item x="16"/>
        <item x="20"/>
        <item x="33"/>
        <item x="19"/>
        <item x="24"/>
        <item x="25"/>
        <item x="8"/>
        <item x="35"/>
        <item x="9"/>
        <item x="5"/>
        <item x="27"/>
        <item x="23"/>
        <item x="11"/>
        <item x="12"/>
        <item x="17"/>
        <item x="32"/>
        <item x="26"/>
        <item x="14"/>
        <item x="21"/>
        <item x="10"/>
        <item x="3"/>
        <item x="28"/>
        <item x="4"/>
        <item x="34"/>
        <item x="7"/>
        <item x="36"/>
        <item x="6"/>
        <item x="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omme de Mai 2025" fld="1" baseField="0" baseItem="0"/>
    <dataField name="Somme de Juin 2025" fld="2" baseField="0" baseItem="0"/>
    <dataField name="Somme de Juillet 2025" fld="3" baseField="0" baseItem="0"/>
    <dataField name="Somme de Août 2025" fld="4" baseField="0" baseItem="0"/>
    <dataField name="Somme de Septembre 2025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A2510D-1C80-42BE-9F16-F839201F78A1}" name="Tableau croisé dynamique5" cacheId="22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L2:Q41" firstHeaderRow="0" firstDataRow="1" firstDataCol="1"/>
  <pivotFields count="6">
    <pivotField axis="axisRow" showAll="0">
      <items count="39">
        <item x="1"/>
        <item x="30"/>
        <item x="18"/>
        <item x="13"/>
        <item x="15"/>
        <item x="31"/>
        <item x="29"/>
        <item x="22"/>
        <item x="37"/>
        <item x="2"/>
        <item x="16"/>
        <item x="20"/>
        <item x="33"/>
        <item x="19"/>
        <item x="24"/>
        <item x="25"/>
        <item x="8"/>
        <item x="35"/>
        <item x="9"/>
        <item x="5"/>
        <item x="27"/>
        <item x="23"/>
        <item x="11"/>
        <item x="12"/>
        <item x="17"/>
        <item x="32"/>
        <item x="26"/>
        <item x="14"/>
        <item x="21"/>
        <item x="10"/>
        <item x="3"/>
        <item x="28"/>
        <item x="4"/>
        <item x="34"/>
        <item x="7"/>
        <item x="36"/>
        <item x="6"/>
        <item x="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omme de Mai 2025" fld="1" baseField="0" baseItem="0"/>
    <dataField name="Somme de Juin 2025" fld="2" baseField="0" baseItem="0"/>
    <dataField name="Somme de Juillet 2025" fld="3" baseField="0" baseItem="0"/>
    <dataField name="Somme de Août 2025" fld="4" baseField="0" baseItem="0"/>
    <dataField name="Somme de Septembre 2025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45"/>
  <sheetViews>
    <sheetView tabSelected="1" topLeftCell="A16" zoomScale="90" zoomScaleNormal="90" workbookViewId="0">
      <selection activeCell="J39" sqref="J3:J40"/>
      <pivotSelection pane="bottomRight" showHeader="1" axis="axisRow" activeRow="38" activeCol="9" previousRow="38" previousCol="9" click="1" r:id="rId1">
        <pivotArea dataOnly="0" labelOnly="1" fieldPosition="0">
          <references count="1">
            <reference field="0" count="0"/>
          </references>
        </pivotArea>
      </pivotSelection>
    </sheetView>
  </sheetViews>
  <sheetFormatPr baseColWidth="10" defaultColWidth="8.88671875" defaultRowHeight="14.4" x14ac:dyDescent="0.3"/>
  <cols>
    <col min="2" max="2" width="19.5546875" bestFit="1" customWidth="1"/>
    <col min="3" max="3" width="17.6640625" bestFit="1" customWidth="1"/>
    <col min="4" max="4" width="9" bestFit="1" customWidth="1"/>
    <col min="5" max="5" width="10.77734375" bestFit="1" customWidth="1"/>
    <col min="6" max="6" width="10" bestFit="1" customWidth="1"/>
    <col min="7" max="7" width="15.44140625" bestFit="1" customWidth="1"/>
    <col min="10" max="10" width="20.44140625" bestFit="1" customWidth="1"/>
    <col min="11" max="11" width="18.5546875" bestFit="1" customWidth="1"/>
    <col min="12" max="12" width="18.77734375" bestFit="1" customWidth="1"/>
    <col min="13" max="13" width="20.5546875" bestFit="1" customWidth="1"/>
    <col min="14" max="14" width="19.6640625" bestFit="1" customWidth="1"/>
    <col min="15" max="16" width="25.21875" bestFit="1" customWidth="1"/>
    <col min="17" max="17" width="17.77734375" bestFit="1" customWidth="1"/>
    <col min="20" max="20" width="11.88671875" bestFit="1" customWidth="1"/>
    <col min="22" max="22" width="12.6640625" bestFit="1" customWidth="1"/>
    <col min="24" max="24" width="18.33203125" bestFit="1" customWidth="1"/>
    <col min="25" max="25" width="10.6640625" bestFit="1" customWidth="1"/>
    <col min="26" max="26" width="16.21875" bestFit="1" customWidth="1"/>
    <col min="27" max="27" width="14.88671875" bestFit="1" customWidth="1"/>
    <col min="28" max="28" width="16.6640625" bestFit="1" customWidth="1"/>
    <col min="29" max="29" width="10.44140625" bestFit="1" customWidth="1"/>
    <col min="31" max="31" width="16.33203125" bestFit="1" customWidth="1"/>
    <col min="32" max="32" width="10.109375" bestFit="1" customWidth="1"/>
    <col min="34" max="34" width="13.33203125" bestFit="1" customWidth="1"/>
  </cols>
  <sheetData>
    <row r="2" spans="2:16" x14ac:dyDescent="0.3">
      <c r="B2" s="20" t="s">
        <v>57</v>
      </c>
      <c r="C2" s="18" t="s">
        <v>10</v>
      </c>
      <c r="D2" s="18" t="s">
        <v>11</v>
      </c>
      <c r="E2" s="18" t="s">
        <v>12</v>
      </c>
      <c r="F2" s="18" t="s">
        <v>13</v>
      </c>
      <c r="G2" s="18" t="s">
        <v>14</v>
      </c>
      <c r="J2" s="1" t="s">
        <v>62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s="17" t="s">
        <v>58</v>
      </c>
    </row>
    <row r="3" spans="2:16" x14ac:dyDescent="0.3">
      <c r="B3" s="19" t="s">
        <v>18</v>
      </c>
      <c r="C3" s="11">
        <f>0.44</f>
        <v>0.44</v>
      </c>
      <c r="D3" s="11">
        <f>0.54</f>
        <v>0.54</v>
      </c>
      <c r="E3" s="11">
        <f>6.38</f>
        <v>6.38</v>
      </c>
      <c r="F3" s="11">
        <v>0</v>
      </c>
      <c r="G3" s="11">
        <f>0.12+0.2</f>
        <v>0.32</v>
      </c>
      <c r="J3" s="2" t="s">
        <v>19</v>
      </c>
      <c r="K3" s="4">
        <v>1.32</v>
      </c>
      <c r="L3" s="4">
        <v>1.34</v>
      </c>
      <c r="M3" s="4">
        <v>0</v>
      </c>
      <c r="N3" s="4">
        <v>0</v>
      </c>
      <c r="O3" s="4">
        <v>0</v>
      </c>
      <c r="P3">
        <f>SUM(K3:O3)</f>
        <v>2.66</v>
      </c>
    </row>
    <row r="4" spans="2:16" x14ac:dyDescent="0.3">
      <c r="B4" s="19" t="s">
        <v>19</v>
      </c>
      <c r="C4" s="11">
        <v>1.32</v>
      </c>
      <c r="D4" s="11">
        <f>1.34</f>
        <v>1.34</v>
      </c>
      <c r="E4" s="11">
        <v>0</v>
      </c>
      <c r="F4" s="11">
        <v>0</v>
      </c>
      <c r="G4" s="11">
        <v>0</v>
      </c>
      <c r="J4" s="2" t="s">
        <v>45</v>
      </c>
      <c r="K4" s="4">
        <v>0.12</v>
      </c>
      <c r="L4" s="4">
        <v>0</v>
      </c>
      <c r="M4" s="4">
        <v>0</v>
      </c>
      <c r="N4" s="4">
        <v>0</v>
      </c>
      <c r="O4" s="4">
        <v>0</v>
      </c>
      <c r="P4">
        <f t="shared" ref="P4:P41" si="0">SUM(K4:O4)</f>
        <v>0.12</v>
      </c>
    </row>
    <row r="5" spans="2:16" x14ac:dyDescent="0.3">
      <c r="B5" s="19" t="s">
        <v>20</v>
      </c>
      <c r="C5" s="11">
        <v>0.57999999999999996</v>
      </c>
      <c r="D5" s="11">
        <v>0</v>
      </c>
      <c r="E5" s="11">
        <v>0</v>
      </c>
      <c r="F5" s="11">
        <v>0</v>
      </c>
      <c r="G5" s="11">
        <v>0</v>
      </c>
      <c r="J5" s="2" t="s">
        <v>33</v>
      </c>
      <c r="K5" s="4">
        <v>0.4</v>
      </c>
      <c r="L5" s="4">
        <v>6.02</v>
      </c>
      <c r="M5" s="4">
        <v>0</v>
      </c>
      <c r="N5" s="4">
        <v>14.38</v>
      </c>
      <c r="O5" s="4">
        <v>0.32</v>
      </c>
      <c r="P5">
        <f t="shared" si="0"/>
        <v>21.12</v>
      </c>
    </row>
    <row r="6" spans="2:16" x14ac:dyDescent="0.3">
      <c r="B6" s="19" t="s">
        <v>21</v>
      </c>
      <c r="C6" s="11">
        <v>0.52</v>
      </c>
      <c r="D6" s="11">
        <v>0</v>
      </c>
      <c r="E6" s="11">
        <v>0</v>
      </c>
      <c r="F6" s="11">
        <v>0</v>
      </c>
      <c r="G6" s="11">
        <f>1.38</f>
        <v>1.38</v>
      </c>
      <c r="J6" s="2" t="s">
        <v>30</v>
      </c>
      <c r="K6" s="4">
        <v>0.42</v>
      </c>
      <c r="L6" s="4">
        <v>0</v>
      </c>
      <c r="M6" s="4">
        <v>4.12</v>
      </c>
      <c r="N6" s="4">
        <v>0</v>
      </c>
      <c r="O6" s="4">
        <v>0</v>
      </c>
      <c r="P6">
        <f t="shared" si="0"/>
        <v>4.54</v>
      </c>
    </row>
    <row r="7" spans="2:16" x14ac:dyDescent="0.3">
      <c r="B7" s="19" t="s">
        <v>22</v>
      </c>
      <c r="C7" s="11">
        <v>0.2</v>
      </c>
      <c r="D7" s="11">
        <v>0</v>
      </c>
      <c r="E7" s="11">
        <f>14.52</f>
        <v>14.52</v>
      </c>
      <c r="F7" s="11">
        <v>0</v>
      </c>
      <c r="G7" s="11">
        <v>0</v>
      </c>
      <c r="J7" s="2" t="s">
        <v>32</v>
      </c>
      <c r="K7" s="4">
        <v>0.9</v>
      </c>
      <c r="L7" s="4">
        <v>5.0599999999999996</v>
      </c>
      <c r="M7" s="4">
        <v>11.16</v>
      </c>
      <c r="N7" s="4">
        <v>8.3800000000000008</v>
      </c>
      <c r="O7" s="4">
        <v>8.26</v>
      </c>
      <c r="P7">
        <f t="shared" si="0"/>
        <v>33.76</v>
      </c>
    </row>
    <row r="8" spans="2:16" x14ac:dyDescent="0.3">
      <c r="B8" s="19" t="s">
        <v>23</v>
      </c>
      <c r="C8" s="11">
        <v>0.4</v>
      </c>
      <c r="D8" s="11">
        <f>0.64</f>
        <v>0.64</v>
      </c>
      <c r="E8" s="11">
        <f>0</f>
        <v>0</v>
      </c>
      <c r="F8" s="11">
        <v>0</v>
      </c>
      <c r="G8" s="11">
        <v>0</v>
      </c>
      <c r="J8" s="2" t="s">
        <v>46</v>
      </c>
      <c r="K8" s="4">
        <v>0.52</v>
      </c>
      <c r="L8" s="4">
        <v>0</v>
      </c>
      <c r="M8" s="4">
        <v>2.6999999999999997</v>
      </c>
      <c r="N8" s="4">
        <v>0</v>
      </c>
      <c r="O8" s="4">
        <v>0</v>
      </c>
      <c r="P8">
        <f t="shared" si="0"/>
        <v>3.2199999999999998</v>
      </c>
    </row>
    <row r="9" spans="2:16" x14ac:dyDescent="0.3">
      <c r="B9" s="19" t="s">
        <v>24</v>
      </c>
      <c r="C9" s="11">
        <v>0.84</v>
      </c>
      <c r="D9" s="11">
        <v>44.24</v>
      </c>
      <c r="E9" s="11">
        <v>0</v>
      </c>
      <c r="F9" s="11">
        <v>0</v>
      </c>
      <c r="G9" s="11">
        <v>0</v>
      </c>
      <c r="J9" s="2" t="s">
        <v>43</v>
      </c>
      <c r="K9" s="4">
        <v>0.12</v>
      </c>
      <c r="L9" s="4">
        <v>0.78</v>
      </c>
      <c r="M9" s="4">
        <v>22.72</v>
      </c>
      <c r="N9" s="4">
        <v>0</v>
      </c>
      <c r="O9" s="4">
        <v>0</v>
      </c>
      <c r="P9">
        <f t="shared" si="0"/>
        <v>23.619999999999997</v>
      </c>
    </row>
    <row r="10" spans="2:16" x14ac:dyDescent="0.3">
      <c r="B10" s="19" t="s">
        <v>25</v>
      </c>
      <c r="C10" s="11">
        <f>0+0.93</f>
        <v>0.93</v>
      </c>
      <c r="D10" s="11">
        <f>7.7</f>
        <v>7.7</v>
      </c>
      <c r="E10" s="11">
        <f>1.3+0.74+0.24+10.3</f>
        <v>12.580000000000002</v>
      </c>
      <c r="F10" s="11">
        <v>0</v>
      </c>
      <c r="G10" s="11">
        <f>0.12</f>
        <v>0.12</v>
      </c>
      <c r="J10" s="2" t="s">
        <v>36</v>
      </c>
      <c r="K10" s="4">
        <v>0</v>
      </c>
      <c r="L10" s="4">
        <v>0.57999999999999996</v>
      </c>
      <c r="M10" s="4">
        <v>0</v>
      </c>
      <c r="N10" s="4">
        <v>0</v>
      </c>
      <c r="O10" s="4">
        <v>0</v>
      </c>
      <c r="P10">
        <f t="shared" si="0"/>
        <v>0.57999999999999996</v>
      </c>
    </row>
    <row r="11" spans="2:16" x14ac:dyDescent="0.3">
      <c r="B11" s="19" t="s">
        <v>26</v>
      </c>
      <c r="C11" s="11">
        <f>0.82+2.7</f>
        <v>3.52</v>
      </c>
      <c r="D11" s="11">
        <f>0.16+0</f>
        <v>0.16</v>
      </c>
      <c r="E11" s="11">
        <v>0</v>
      </c>
      <c r="F11" s="11">
        <v>0</v>
      </c>
      <c r="G11" s="11">
        <v>0</v>
      </c>
      <c r="J11" s="2" t="s">
        <v>52</v>
      </c>
      <c r="K11" s="4">
        <v>0</v>
      </c>
      <c r="L11" s="4">
        <v>0</v>
      </c>
      <c r="M11" s="4">
        <v>1.4</v>
      </c>
      <c r="N11" s="4">
        <v>0</v>
      </c>
      <c r="O11" s="4">
        <v>0</v>
      </c>
      <c r="P11">
        <f t="shared" si="0"/>
        <v>1.4</v>
      </c>
    </row>
    <row r="12" spans="2:16" x14ac:dyDescent="0.3">
      <c r="B12" s="19" t="s">
        <v>16</v>
      </c>
      <c r="C12" s="11">
        <f>1.2</f>
        <v>1.2</v>
      </c>
      <c r="D12" s="11">
        <v>0</v>
      </c>
      <c r="E12" s="11">
        <v>0</v>
      </c>
      <c r="F12" s="11">
        <f>4.36</f>
        <v>4.3600000000000003</v>
      </c>
      <c r="G12" s="11">
        <f>0.06</f>
        <v>0.06</v>
      </c>
      <c r="J12" s="2" t="s">
        <v>20</v>
      </c>
      <c r="K12" s="4">
        <v>0.57999999999999996</v>
      </c>
      <c r="L12" s="4">
        <v>0</v>
      </c>
      <c r="M12" s="4">
        <v>0</v>
      </c>
      <c r="N12" s="4">
        <v>0</v>
      </c>
      <c r="O12" s="4">
        <v>0</v>
      </c>
      <c r="P12">
        <f t="shared" si="0"/>
        <v>0.57999999999999996</v>
      </c>
    </row>
    <row r="13" spans="2:16" x14ac:dyDescent="0.3">
      <c r="B13" s="19" t="s">
        <v>27</v>
      </c>
      <c r="C13" s="11">
        <f>3.68+0.64</f>
        <v>4.32</v>
      </c>
      <c r="D13" s="11">
        <f>1.44</f>
        <v>1.44</v>
      </c>
      <c r="E13" s="11">
        <f>2+6.64+6.42</f>
        <v>15.06</v>
      </c>
      <c r="F13" s="11">
        <v>0</v>
      </c>
      <c r="G13" s="11">
        <v>0</v>
      </c>
      <c r="J13" s="2" t="s">
        <v>15</v>
      </c>
      <c r="K13" s="4">
        <v>0.8600000000000001</v>
      </c>
      <c r="L13" s="4">
        <v>2.44</v>
      </c>
      <c r="M13" s="4">
        <v>0</v>
      </c>
      <c r="N13" s="4">
        <v>10.06</v>
      </c>
      <c r="O13" s="4">
        <v>0.12</v>
      </c>
      <c r="P13">
        <f t="shared" si="0"/>
        <v>13.479999999999999</v>
      </c>
    </row>
    <row r="14" spans="2:16" x14ac:dyDescent="0.3">
      <c r="B14" s="19" t="s">
        <v>28</v>
      </c>
      <c r="C14" s="11">
        <v>0.62</v>
      </c>
      <c r="D14" s="11">
        <v>0</v>
      </c>
      <c r="E14" s="11">
        <f>9.92</f>
        <v>9.92</v>
      </c>
      <c r="F14" s="11">
        <v>0</v>
      </c>
      <c r="G14" s="11">
        <f>4.56+20+3.06+2.02+15.56+1.88</f>
        <v>47.08</v>
      </c>
      <c r="J14" s="2" t="s">
        <v>17</v>
      </c>
      <c r="K14" s="4">
        <v>0.86</v>
      </c>
      <c r="L14" s="4">
        <v>17.100000000000001</v>
      </c>
      <c r="M14" s="4">
        <v>4.58</v>
      </c>
      <c r="N14" s="4">
        <v>0</v>
      </c>
      <c r="O14" s="4">
        <v>0</v>
      </c>
      <c r="P14">
        <f t="shared" si="0"/>
        <v>22.54</v>
      </c>
    </row>
    <row r="15" spans="2:16" x14ac:dyDescent="0.3">
      <c r="B15" s="19" t="s">
        <v>29</v>
      </c>
      <c r="C15" s="11">
        <v>0</v>
      </c>
      <c r="D15" s="11">
        <f>11.06+1.06</f>
        <v>12.120000000000001</v>
      </c>
      <c r="E15" s="11">
        <v>0</v>
      </c>
      <c r="F15" s="11">
        <v>0</v>
      </c>
      <c r="G15" s="11">
        <v>0</v>
      </c>
      <c r="J15" s="2" t="s">
        <v>48</v>
      </c>
      <c r="K15" s="4">
        <v>0</v>
      </c>
      <c r="L15" s="4">
        <v>0.38</v>
      </c>
      <c r="M15" s="4">
        <v>0</v>
      </c>
      <c r="N15" s="4">
        <v>0</v>
      </c>
      <c r="O15" s="4">
        <v>0</v>
      </c>
      <c r="P15">
        <f t="shared" si="0"/>
        <v>0.38</v>
      </c>
    </row>
    <row r="16" spans="2:16" x14ac:dyDescent="0.3">
      <c r="B16" s="19" t="s">
        <v>30</v>
      </c>
      <c r="C16" s="11">
        <v>0.42</v>
      </c>
      <c r="D16" s="11">
        <v>0</v>
      </c>
      <c r="E16" s="11">
        <v>0</v>
      </c>
      <c r="F16" s="11">
        <v>0</v>
      </c>
      <c r="G16" s="11">
        <v>0</v>
      </c>
      <c r="J16" s="2" t="s">
        <v>34</v>
      </c>
      <c r="K16" s="4">
        <v>0.4</v>
      </c>
      <c r="L16" s="4">
        <v>0</v>
      </c>
      <c r="M16" s="4">
        <v>6.34</v>
      </c>
      <c r="N16" s="4">
        <v>1.6</v>
      </c>
      <c r="O16" s="4">
        <v>0</v>
      </c>
      <c r="P16">
        <f t="shared" si="0"/>
        <v>8.34</v>
      </c>
    </row>
    <row r="17" spans="2:16" x14ac:dyDescent="0.3">
      <c r="B17" s="19" t="s">
        <v>31</v>
      </c>
      <c r="C17" s="11">
        <f>0.16</f>
        <v>0.16</v>
      </c>
      <c r="D17" s="11">
        <v>0</v>
      </c>
      <c r="E17" s="11">
        <f>0.14</f>
        <v>0.14000000000000001</v>
      </c>
      <c r="F17" s="11">
        <f>0.12+0.08</f>
        <v>0.2</v>
      </c>
      <c r="G17" s="11">
        <v>0</v>
      </c>
      <c r="J17" s="2" t="s">
        <v>38</v>
      </c>
      <c r="K17" s="4">
        <v>0.16</v>
      </c>
      <c r="L17" s="4">
        <v>0</v>
      </c>
      <c r="M17" s="4">
        <v>0</v>
      </c>
      <c r="N17" s="4">
        <v>0</v>
      </c>
      <c r="O17" s="4">
        <v>0</v>
      </c>
      <c r="P17">
        <f t="shared" si="0"/>
        <v>0.16</v>
      </c>
    </row>
    <row r="18" spans="2:16" x14ac:dyDescent="0.3">
      <c r="B18" s="19" t="s">
        <v>32</v>
      </c>
      <c r="C18" s="11">
        <f>0.9</f>
        <v>0.9</v>
      </c>
      <c r="D18" s="11">
        <f>0.6+4.46+0</f>
        <v>5.0599999999999996</v>
      </c>
      <c r="E18" s="11">
        <f>0+4.12+7.04</f>
        <v>11.16</v>
      </c>
      <c r="F18" s="11">
        <f>8.38</f>
        <v>8.3800000000000008</v>
      </c>
      <c r="G18" s="11">
        <f>8.26</f>
        <v>8.26</v>
      </c>
      <c r="J18" s="2" t="s">
        <v>39</v>
      </c>
      <c r="K18" s="4">
        <v>0</v>
      </c>
      <c r="L18" s="4">
        <v>11.02</v>
      </c>
      <c r="M18" s="4">
        <v>9.3000000000000007</v>
      </c>
      <c r="N18" s="4">
        <v>0</v>
      </c>
      <c r="O18" s="4">
        <v>0</v>
      </c>
      <c r="P18">
        <f t="shared" si="0"/>
        <v>20.32</v>
      </c>
    </row>
    <row r="19" spans="2:16" x14ac:dyDescent="0.3">
      <c r="B19" s="19" t="s">
        <v>15</v>
      </c>
      <c r="C19" s="11">
        <f>0.32+0.54</f>
        <v>0.8600000000000001</v>
      </c>
      <c r="D19" s="11">
        <f>2.44</f>
        <v>2.44</v>
      </c>
      <c r="E19" s="11">
        <v>0</v>
      </c>
      <c r="F19" s="11">
        <f>0.1+9.96</f>
        <v>10.06</v>
      </c>
      <c r="G19" s="11">
        <f>0.12</f>
        <v>0.12</v>
      </c>
      <c r="J19" s="2" t="s">
        <v>26</v>
      </c>
      <c r="K19" s="4">
        <v>3.52</v>
      </c>
      <c r="L19" s="4">
        <v>0.16</v>
      </c>
      <c r="M19" s="4">
        <v>0</v>
      </c>
      <c r="N19" s="4">
        <v>0</v>
      </c>
      <c r="O19" s="4">
        <v>0</v>
      </c>
      <c r="P19">
        <f t="shared" si="0"/>
        <v>3.68</v>
      </c>
    </row>
    <row r="20" spans="2:16" x14ac:dyDescent="0.3">
      <c r="B20" s="19" t="s">
        <v>44</v>
      </c>
      <c r="C20" s="11">
        <v>1.1399999999999999</v>
      </c>
      <c r="D20" s="11">
        <f>0</f>
        <v>0</v>
      </c>
      <c r="E20" s="11">
        <f>14.12+21.64+0.3</f>
        <v>36.059999999999995</v>
      </c>
      <c r="F20" s="11">
        <f>0.22</f>
        <v>0.22</v>
      </c>
      <c r="G20" s="11">
        <f>8.52+8.84+8.62+9.46</f>
        <v>35.44</v>
      </c>
      <c r="J20" s="2" t="s">
        <v>50</v>
      </c>
      <c r="K20" s="4">
        <v>0</v>
      </c>
      <c r="L20" s="4">
        <v>0.34</v>
      </c>
      <c r="M20" s="4">
        <v>0</v>
      </c>
      <c r="N20" s="4">
        <v>0</v>
      </c>
      <c r="O20" s="4">
        <v>0</v>
      </c>
      <c r="P20">
        <f t="shared" si="0"/>
        <v>0.34</v>
      </c>
    </row>
    <row r="21" spans="2:16" x14ac:dyDescent="0.3">
      <c r="B21" s="19" t="s">
        <v>33</v>
      </c>
      <c r="C21" s="11">
        <f>0.4</f>
        <v>0.4</v>
      </c>
      <c r="D21" s="11">
        <f>0.3+2.88+2.84</f>
        <v>6.02</v>
      </c>
      <c r="E21" s="11">
        <f>0</f>
        <v>0</v>
      </c>
      <c r="F21" s="11">
        <v>14.38</v>
      </c>
      <c r="G21" s="11">
        <f>0.32</f>
        <v>0.32</v>
      </c>
      <c r="J21" s="2" t="s">
        <v>16</v>
      </c>
      <c r="K21" s="4">
        <v>1.2</v>
      </c>
      <c r="L21" s="4">
        <v>0</v>
      </c>
      <c r="M21" s="4">
        <v>0</v>
      </c>
      <c r="N21" s="4">
        <v>4.3600000000000003</v>
      </c>
      <c r="O21" s="4">
        <v>0.06</v>
      </c>
      <c r="P21">
        <f t="shared" si="0"/>
        <v>5.62</v>
      </c>
    </row>
    <row r="22" spans="2:16" x14ac:dyDescent="0.3">
      <c r="B22" s="19" t="s">
        <v>34</v>
      </c>
      <c r="C22" s="11">
        <f>0.4</f>
        <v>0.4</v>
      </c>
      <c r="D22" s="11">
        <v>0</v>
      </c>
      <c r="E22" s="11">
        <f>6.34</f>
        <v>6.34</v>
      </c>
      <c r="F22" s="11">
        <f>1.6</f>
        <v>1.6</v>
      </c>
      <c r="G22" s="11">
        <v>0</v>
      </c>
      <c r="J22" s="2" t="s">
        <v>23</v>
      </c>
      <c r="K22" s="4">
        <v>0.4</v>
      </c>
      <c r="L22" s="4">
        <v>0.64</v>
      </c>
      <c r="M22" s="4">
        <v>0</v>
      </c>
      <c r="N22" s="4">
        <v>0</v>
      </c>
      <c r="O22" s="4">
        <v>0</v>
      </c>
      <c r="P22">
        <f t="shared" si="0"/>
        <v>1.04</v>
      </c>
    </row>
    <row r="23" spans="2:16" x14ac:dyDescent="0.3">
      <c r="B23" s="19" t="s">
        <v>17</v>
      </c>
      <c r="C23" s="11">
        <f>0.86</f>
        <v>0.86</v>
      </c>
      <c r="D23" s="11">
        <f>0.62+0.88+15.6</f>
        <v>17.100000000000001</v>
      </c>
      <c r="E23" s="11">
        <f>4.58+0</f>
        <v>4.58</v>
      </c>
      <c r="F23" s="11">
        <v>0</v>
      </c>
      <c r="G23" s="11">
        <v>0</v>
      </c>
      <c r="J23" s="2" t="s">
        <v>41</v>
      </c>
      <c r="K23" s="4">
        <v>0.6</v>
      </c>
      <c r="L23" s="4">
        <v>0</v>
      </c>
      <c r="M23" s="4">
        <v>0</v>
      </c>
      <c r="N23" s="4">
        <v>0.4</v>
      </c>
      <c r="O23" s="4">
        <v>0.22</v>
      </c>
      <c r="P23">
        <f t="shared" si="0"/>
        <v>1.22</v>
      </c>
    </row>
    <row r="24" spans="2:16" x14ac:dyDescent="0.3">
      <c r="B24" s="19" t="s">
        <v>35</v>
      </c>
      <c r="C24" s="11">
        <f>1.06+0.32</f>
        <v>1.3800000000000001</v>
      </c>
      <c r="D24" s="11">
        <f>0.62+7.9</f>
        <v>8.52</v>
      </c>
      <c r="E24" s="11">
        <f>9.48</f>
        <v>9.48</v>
      </c>
      <c r="F24" s="11">
        <f>7.9+1.14</f>
        <v>9.0400000000000009</v>
      </c>
      <c r="G24" s="11">
        <v>0</v>
      </c>
      <c r="J24" s="2" t="s">
        <v>37</v>
      </c>
      <c r="K24" s="4">
        <v>0.62</v>
      </c>
      <c r="L24" s="4">
        <v>0</v>
      </c>
      <c r="M24" s="4">
        <v>6.26</v>
      </c>
      <c r="N24" s="4">
        <v>0</v>
      </c>
      <c r="O24" s="4">
        <v>0</v>
      </c>
      <c r="P24">
        <f t="shared" si="0"/>
        <v>6.88</v>
      </c>
    </row>
    <row r="25" spans="2:16" x14ac:dyDescent="0.3">
      <c r="B25" s="19" t="s">
        <v>36</v>
      </c>
      <c r="C25" s="11">
        <f>0</f>
        <v>0</v>
      </c>
      <c r="D25" s="11">
        <f>0+0.58</f>
        <v>0.57999999999999996</v>
      </c>
      <c r="E25" s="11">
        <v>0</v>
      </c>
      <c r="F25" s="11">
        <v>0</v>
      </c>
      <c r="G25" s="11">
        <v>0</v>
      </c>
      <c r="J25" s="2" t="s">
        <v>28</v>
      </c>
      <c r="K25" s="4">
        <v>0.62</v>
      </c>
      <c r="L25" s="4">
        <v>0</v>
      </c>
      <c r="M25" s="4">
        <v>9.92</v>
      </c>
      <c r="N25" s="4">
        <v>0</v>
      </c>
      <c r="O25" s="4">
        <v>47.08</v>
      </c>
      <c r="P25">
        <f t="shared" si="0"/>
        <v>57.62</v>
      </c>
    </row>
    <row r="26" spans="2:16" x14ac:dyDescent="0.3">
      <c r="B26" s="19" t="s">
        <v>37</v>
      </c>
      <c r="C26" s="11">
        <f>0.5+0.12</f>
        <v>0.62</v>
      </c>
      <c r="D26" s="11">
        <f>0</f>
        <v>0</v>
      </c>
      <c r="E26" s="11">
        <f>4.12+0.26+1.88</f>
        <v>6.26</v>
      </c>
      <c r="F26" s="11">
        <v>0</v>
      </c>
      <c r="G26" s="11">
        <v>0</v>
      </c>
      <c r="J26" s="2" t="s">
        <v>29</v>
      </c>
      <c r="K26" s="4">
        <v>0</v>
      </c>
      <c r="L26" s="4">
        <v>12.120000000000001</v>
      </c>
      <c r="M26" s="4">
        <v>0</v>
      </c>
      <c r="N26" s="4">
        <v>0</v>
      </c>
      <c r="O26" s="4">
        <v>0</v>
      </c>
      <c r="P26">
        <f t="shared" si="0"/>
        <v>12.120000000000001</v>
      </c>
    </row>
    <row r="27" spans="2:16" x14ac:dyDescent="0.3">
      <c r="B27" s="19" t="s">
        <v>38</v>
      </c>
      <c r="C27" s="11">
        <f>0.16</f>
        <v>0.16</v>
      </c>
      <c r="D27" s="11">
        <v>0</v>
      </c>
      <c r="E27" s="11">
        <v>0</v>
      </c>
      <c r="F27" s="11">
        <v>0</v>
      </c>
      <c r="G27" s="11">
        <v>0</v>
      </c>
      <c r="J27" s="2" t="s">
        <v>44</v>
      </c>
      <c r="K27" s="4">
        <v>1.1399999999999999</v>
      </c>
      <c r="L27" s="4">
        <v>0</v>
      </c>
      <c r="M27" s="4">
        <v>36.059999999999995</v>
      </c>
      <c r="N27" s="4">
        <v>0.22</v>
      </c>
      <c r="O27" s="4">
        <v>35.44</v>
      </c>
      <c r="P27">
        <f t="shared" si="0"/>
        <v>72.859999999999985</v>
      </c>
    </row>
    <row r="28" spans="2:16" x14ac:dyDescent="0.3">
      <c r="B28" s="19" t="s">
        <v>39</v>
      </c>
      <c r="C28" s="11">
        <v>0</v>
      </c>
      <c r="D28" s="11">
        <v>0</v>
      </c>
      <c r="E28" s="11">
        <v>9.3000000000000007</v>
      </c>
      <c r="F28" s="11">
        <v>0</v>
      </c>
      <c r="G28" s="11">
        <v>0</v>
      </c>
      <c r="J28" s="2" t="s">
        <v>47</v>
      </c>
      <c r="K28" s="4">
        <v>1.06</v>
      </c>
      <c r="L28" s="4">
        <v>0</v>
      </c>
      <c r="M28" s="4">
        <v>1.84</v>
      </c>
      <c r="N28" s="4">
        <v>0</v>
      </c>
      <c r="O28" s="4">
        <v>0</v>
      </c>
      <c r="P28">
        <f t="shared" si="0"/>
        <v>2.9000000000000004</v>
      </c>
    </row>
    <row r="29" spans="2:16" x14ac:dyDescent="0.3">
      <c r="B29" s="19" t="s">
        <v>40</v>
      </c>
      <c r="C29" s="11">
        <f>0.04</f>
        <v>0.04</v>
      </c>
      <c r="D29" s="11">
        <v>0</v>
      </c>
      <c r="E29" s="11">
        <v>0</v>
      </c>
      <c r="F29" s="11">
        <v>0</v>
      </c>
      <c r="G29" s="11">
        <v>0</v>
      </c>
      <c r="J29" s="2" t="s">
        <v>40</v>
      </c>
      <c r="K29" s="4">
        <v>0.04</v>
      </c>
      <c r="L29" s="4">
        <v>4.2</v>
      </c>
      <c r="M29" s="4">
        <v>0</v>
      </c>
      <c r="N29" s="4">
        <v>0</v>
      </c>
      <c r="O29" s="4">
        <v>0</v>
      </c>
      <c r="P29">
        <f t="shared" si="0"/>
        <v>4.24</v>
      </c>
    </row>
    <row r="30" spans="2:16" x14ac:dyDescent="0.3">
      <c r="B30" s="19" t="s">
        <v>41</v>
      </c>
      <c r="C30" s="11">
        <f>0.6</f>
        <v>0.6</v>
      </c>
      <c r="D30" s="11">
        <f>0+0</f>
        <v>0</v>
      </c>
      <c r="E30" s="11">
        <f>0</f>
        <v>0</v>
      </c>
      <c r="F30" s="11">
        <f>0.4</f>
        <v>0.4</v>
      </c>
      <c r="G30" s="11">
        <f>0.22</f>
        <v>0.22</v>
      </c>
      <c r="J30" s="2" t="s">
        <v>31</v>
      </c>
      <c r="K30" s="4">
        <v>0.16</v>
      </c>
      <c r="L30" s="4">
        <v>0</v>
      </c>
      <c r="M30" s="4">
        <v>0.14000000000000001</v>
      </c>
      <c r="N30" s="4">
        <v>0.2</v>
      </c>
      <c r="O30" s="4">
        <v>0</v>
      </c>
      <c r="P30">
        <f t="shared" si="0"/>
        <v>0.5</v>
      </c>
    </row>
    <row r="31" spans="2:16" x14ac:dyDescent="0.3">
      <c r="B31" s="19" t="s">
        <v>42</v>
      </c>
      <c r="C31" s="11">
        <f>0.76+1.08</f>
        <v>1.84</v>
      </c>
      <c r="D31" s="11">
        <f>0</f>
        <v>0</v>
      </c>
      <c r="E31" s="11">
        <f>0</f>
        <v>0</v>
      </c>
      <c r="F31" s="11">
        <v>0</v>
      </c>
      <c r="G31" s="11">
        <v>0</v>
      </c>
      <c r="J31" s="2" t="s">
        <v>35</v>
      </c>
      <c r="K31" s="4">
        <v>1.3800000000000001</v>
      </c>
      <c r="L31" s="4">
        <v>8.52</v>
      </c>
      <c r="M31" s="4">
        <v>9.48</v>
      </c>
      <c r="N31" s="4">
        <v>9.0400000000000009</v>
      </c>
      <c r="O31" s="4">
        <v>0</v>
      </c>
      <c r="P31">
        <f t="shared" si="0"/>
        <v>28.42</v>
      </c>
    </row>
    <row r="32" spans="2:16" x14ac:dyDescent="0.3">
      <c r="B32" s="19" t="s">
        <v>43</v>
      </c>
      <c r="C32" s="11">
        <f>0.12</f>
        <v>0.12</v>
      </c>
      <c r="D32" s="11">
        <f>0.78</f>
        <v>0.78</v>
      </c>
      <c r="E32" s="11">
        <f>14.56+8.16</f>
        <v>22.72</v>
      </c>
      <c r="F32" s="11">
        <v>0</v>
      </c>
      <c r="G32" s="11">
        <v>0</v>
      </c>
      <c r="J32" s="2" t="s">
        <v>27</v>
      </c>
      <c r="K32" s="4">
        <v>4.32</v>
      </c>
      <c r="L32" s="4">
        <v>1.44</v>
      </c>
      <c r="M32" s="4">
        <v>15.06</v>
      </c>
      <c r="N32" s="4">
        <v>0</v>
      </c>
      <c r="O32" s="4">
        <v>0</v>
      </c>
      <c r="P32">
        <f t="shared" si="0"/>
        <v>20.82</v>
      </c>
    </row>
    <row r="33" spans="2:16" x14ac:dyDescent="0.3">
      <c r="B33" s="19" t="s">
        <v>45</v>
      </c>
      <c r="C33" s="11">
        <f>0.12</f>
        <v>0.12</v>
      </c>
      <c r="D33" s="11">
        <v>0</v>
      </c>
      <c r="E33" s="11">
        <v>0</v>
      </c>
      <c r="F33" s="11">
        <v>0</v>
      </c>
      <c r="G33" s="11">
        <v>0</v>
      </c>
      <c r="J33" s="2" t="s">
        <v>21</v>
      </c>
      <c r="K33" s="4">
        <v>0.52</v>
      </c>
      <c r="L33" s="4">
        <v>0</v>
      </c>
      <c r="M33" s="4">
        <v>0</v>
      </c>
      <c r="N33" s="4">
        <v>0</v>
      </c>
      <c r="O33" s="4">
        <v>1.38</v>
      </c>
      <c r="P33">
        <f t="shared" si="0"/>
        <v>1.9</v>
      </c>
    </row>
    <row r="34" spans="2:16" x14ac:dyDescent="0.3">
      <c r="B34" s="19" t="s">
        <v>46</v>
      </c>
      <c r="C34" s="11">
        <f>0.52</f>
        <v>0.52</v>
      </c>
      <c r="D34" s="11">
        <f>0</f>
        <v>0</v>
      </c>
      <c r="E34" s="11">
        <f>2.32+0.38</f>
        <v>2.6999999999999997</v>
      </c>
      <c r="F34" s="11">
        <v>0</v>
      </c>
      <c r="G34" s="11">
        <v>0</v>
      </c>
      <c r="J34" s="2" t="s">
        <v>42</v>
      </c>
      <c r="K34" s="4">
        <v>1.84</v>
      </c>
      <c r="L34" s="4">
        <v>0</v>
      </c>
      <c r="M34" s="4">
        <v>0</v>
      </c>
      <c r="N34" s="4">
        <v>0</v>
      </c>
      <c r="O34" s="4">
        <v>0</v>
      </c>
      <c r="P34">
        <f t="shared" si="0"/>
        <v>1.84</v>
      </c>
    </row>
    <row r="35" spans="2:16" x14ac:dyDescent="0.3">
      <c r="B35" s="19" t="s">
        <v>47</v>
      </c>
      <c r="C35" s="11">
        <v>1.06</v>
      </c>
      <c r="D35" s="11">
        <v>0</v>
      </c>
      <c r="E35" s="11">
        <f>1.84</f>
        <v>1.84</v>
      </c>
      <c r="F35" s="11">
        <v>0</v>
      </c>
      <c r="G35" s="11">
        <v>0</v>
      </c>
      <c r="J35" s="2" t="s">
        <v>22</v>
      </c>
      <c r="K35" s="4">
        <v>0.2</v>
      </c>
      <c r="L35" s="4">
        <v>0</v>
      </c>
      <c r="M35" s="4">
        <v>14.52</v>
      </c>
      <c r="N35" s="4">
        <v>0</v>
      </c>
      <c r="O35" s="4">
        <v>0</v>
      </c>
      <c r="P35">
        <f t="shared" si="0"/>
        <v>14.719999999999999</v>
      </c>
    </row>
    <row r="36" spans="2:16" x14ac:dyDescent="0.3">
      <c r="B36" s="19" t="s">
        <v>48</v>
      </c>
      <c r="C36" s="11">
        <v>0</v>
      </c>
      <c r="D36" s="11">
        <f>0.38</f>
        <v>0.38</v>
      </c>
      <c r="E36" s="11">
        <v>0</v>
      </c>
      <c r="F36" s="11">
        <v>0</v>
      </c>
      <c r="G36" s="11">
        <v>0</v>
      </c>
      <c r="J36" s="2" t="s">
        <v>49</v>
      </c>
      <c r="K36" s="4">
        <v>0</v>
      </c>
      <c r="L36" s="4">
        <v>11.66</v>
      </c>
      <c r="M36" s="4">
        <v>0</v>
      </c>
      <c r="N36" s="4">
        <v>43.9</v>
      </c>
      <c r="O36" s="4">
        <v>4.5599999999999996</v>
      </c>
      <c r="P36">
        <f t="shared" si="0"/>
        <v>60.120000000000005</v>
      </c>
    </row>
    <row r="37" spans="2:16" x14ac:dyDescent="0.3">
      <c r="B37" s="19" t="s">
        <v>49</v>
      </c>
      <c r="C37" s="11">
        <v>0</v>
      </c>
      <c r="D37" s="11">
        <f>3.64+3.28+4.74</f>
        <v>11.66</v>
      </c>
      <c r="E37" s="11">
        <v>0</v>
      </c>
      <c r="F37" s="11">
        <f>3.48+25.98+14.44</f>
        <v>43.9</v>
      </c>
      <c r="G37" s="11">
        <f>4.56</f>
        <v>4.5599999999999996</v>
      </c>
      <c r="J37" s="2" t="s">
        <v>25</v>
      </c>
      <c r="K37" s="4">
        <v>0.93</v>
      </c>
      <c r="L37" s="4">
        <v>7.7</v>
      </c>
      <c r="M37" s="4">
        <v>12.580000000000002</v>
      </c>
      <c r="N37" s="4">
        <v>0</v>
      </c>
      <c r="O37" s="4">
        <v>0.12</v>
      </c>
      <c r="P37">
        <f t="shared" si="0"/>
        <v>21.330000000000002</v>
      </c>
    </row>
    <row r="38" spans="2:16" x14ac:dyDescent="0.3">
      <c r="B38" s="19" t="s">
        <v>39</v>
      </c>
      <c r="C38" s="11">
        <v>0</v>
      </c>
      <c r="D38" s="11">
        <f>5.78+5.24</f>
        <v>11.02</v>
      </c>
      <c r="E38" s="11">
        <v>0</v>
      </c>
      <c r="F38" s="11"/>
      <c r="G38" s="11">
        <v>0</v>
      </c>
      <c r="J38" s="2" t="s">
        <v>51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>
        <f t="shared" si="0"/>
        <v>0</v>
      </c>
    </row>
    <row r="39" spans="2:16" x14ac:dyDescent="0.3">
      <c r="B39" s="19" t="s">
        <v>50</v>
      </c>
      <c r="C39" s="11">
        <v>0</v>
      </c>
      <c r="D39" s="11">
        <f>0.34</f>
        <v>0.34</v>
      </c>
      <c r="E39" s="11">
        <v>0</v>
      </c>
      <c r="F39" s="11">
        <v>0</v>
      </c>
      <c r="G39" s="11">
        <v>0</v>
      </c>
      <c r="J39" s="2" t="s">
        <v>24</v>
      </c>
      <c r="K39" s="4">
        <v>0.84</v>
      </c>
      <c r="L39" s="4">
        <v>44.24</v>
      </c>
      <c r="M39" s="4">
        <v>0</v>
      </c>
      <c r="N39" s="4">
        <v>0</v>
      </c>
      <c r="O39" s="4">
        <v>0</v>
      </c>
      <c r="P39">
        <f t="shared" si="0"/>
        <v>45.080000000000005</v>
      </c>
    </row>
    <row r="40" spans="2:16" x14ac:dyDescent="0.3">
      <c r="B40" s="19" t="s">
        <v>40</v>
      </c>
      <c r="C40" s="11">
        <v>0</v>
      </c>
      <c r="D40" s="11">
        <f>4.2</f>
        <v>4.2</v>
      </c>
      <c r="E40" s="11">
        <v>0</v>
      </c>
      <c r="F40" s="11">
        <v>0</v>
      </c>
      <c r="G40" s="11">
        <v>0</v>
      </c>
      <c r="J40" s="2" t="s">
        <v>18</v>
      </c>
      <c r="K40" s="4">
        <v>0.44</v>
      </c>
      <c r="L40" s="4">
        <v>0.54</v>
      </c>
      <c r="M40" s="4">
        <v>6.38</v>
      </c>
      <c r="N40" s="4">
        <v>0</v>
      </c>
      <c r="O40" s="4">
        <v>0.32</v>
      </c>
      <c r="P40">
        <f t="shared" si="0"/>
        <v>7.68</v>
      </c>
    </row>
    <row r="41" spans="2:16" x14ac:dyDescent="0.3">
      <c r="B41" s="19" t="s">
        <v>51</v>
      </c>
      <c r="C41" s="11">
        <v>0</v>
      </c>
      <c r="D41" s="11">
        <f>0</f>
        <v>0</v>
      </c>
      <c r="E41" s="11">
        <v>0</v>
      </c>
      <c r="F41" s="11">
        <v>0</v>
      </c>
      <c r="G41" s="11">
        <v>0</v>
      </c>
      <c r="J41" s="2" t="s">
        <v>63</v>
      </c>
      <c r="K41" s="4">
        <v>26.49</v>
      </c>
      <c r="L41" s="4">
        <v>136.28</v>
      </c>
      <c r="M41" s="4">
        <v>174.56000000000003</v>
      </c>
      <c r="N41" s="4">
        <v>92.539999999999992</v>
      </c>
      <c r="O41" s="4">
        <v>97.88</v>
      </c>
      <c r="P41">
        <f t="shared" si="0"/>
        <v>527.75</v>
      </c>
    </row>
    <row r="42" spans="2:16" x14ac:dyDescent="0.3">
      <c r="B42" s="19" t="s">
        <v>52</v>
      </c>
      <c r="C42" s="11">
        <v>0</v>
      </c>
      <c r="D42" s="11">
        <v>0</v>
      </c>
      <c r="E42" s="11">
        <f>1.4</f>
        <v>1.4</v>
      </c>
      <c r="F42" s="11">
        <v>0</v>
      </c>
      <c r="G42" s="11">
        <v>0</v>
      </c>
    </row>
    <row r="43" spans="2:16" x14ac:dyDescent="0.3">
      <c r="B43" s="19" t="s">
        <v>30</v>
      </c>
      <c r="C43" s="11">
        <v>0</v>
      </c>
      <c r="D43" s="11">
        <v>0</v>
      </c>
      <c r="E43" s="11">
        <f>4.12</f>
        <v>4.12</v>
      </c>
      <c r="F43" s="11">
        <v>0</v>
      </c>
      <c r="G43" s="11">
        <v>0</v>
      </c>
    </row>
    <row r="44" spans="2:16" x14ac:dyDescent="0.3">
      <c r="B44" s="19" t="s">
        <v>58</v>
      </c>
      <c r="C44" s="11">
        <f>SUM(C3:C43)</f>
        <v>26.489999999999995</v>
      </c>
      <c r="D44" s="11">
        <f>SUM(D3:D43)</f>
        <v>136.28</v>
      </c>
      <c r="E44" s="11">
        <f>SUM(E3:E43)</f>
        <v>174.56</v>
      </c>
      <c r="F44" s="11">
        <f t="shared" ref="F44:G44" si="1">SUM(F3:F43)</f>
        <v>92.539999999999992</v>
      </c>
      <c r="G44" s="11">
        <f t="shared" si="1"/>
        <v>97.88</v>
      </c>
    </row>
    <row r="45" spans="2:16" x14ac:dyDescent="0.3">
      <c r="B45" s="22">
        <f>SUM(C44:G44)</f>
        <v>527.75</v>
      </c>
      <c r="C45" s="22"/>
      <c r="D45" s="22"/>
      <c r="E45" s="22"/>
      <c r="F45" s="22"/>
      <c r="G45" s="22"/>
    </row>
  </sheetData>
  <mergeCells count="1">
    <mergeCell ref="B45:G45"/>
  </mergeCells>
  <conditionalFormatting sqref="J3:P4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5" right="0.75" top="1" bottom="1" header="0.5" footer="0.5"/>
  <headerFooter>
    <oddFooter>&amp;C_x000D_&amp;1#&amp;"Arial"&amp;10&amp;K29CF00 C2 - COLAS GROUP INTERNAL: Employees and partners who need to know.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zoomScale="85" zoomScaleNormal="85" workbookViewId="0">
      <selection activeCell="D14" sqref="D14"/>
    </sheetView>
  </sheetViews>
  <sheetFormatPr baseColWidth="10" defaultColWidth="8.88671875" defaultRowHeight="14.4" x14ac:dyDescent="0.3"/>
  <cols>
    <col min="1" max="1" width="16.77734375" bestFit="1" customWidth="1"/>
    <col min="5" max="5" width="12.109375" bestFit="1" customWidth="1"/>
    <col min="7" max="7" width="17.109375" bestFit="1" customWidth="1"/>
    <col min="9" max="9" width="5.88671875" bestFit="1" customWidth="1"/>
    <col min="12" max="12" width="17.6640625" bestFit="1" customWidth="1"/>
  </cols>
  <sheetData>
    <row r="1" spans="1:13" x14ac:dyDescent="0.3">
      <c r="A1" s="20" t="s">
        <v>60</v>
      </c>
      <c r="B1" s="18" t="s">
        <v>0</v>
      </c>
      <c r="C1" s="18" t="s">
        <v>1</v>
      </c>
      <c r="D1" s="18" t="s">
        <v>53</v>
      </c>
      <c r="E1" s="18" t="s">
        <v>2</v>
      </c>
      <c r="F1" s="18" t="s">
        <v>3</v>
      </c>
      <c r="G1" s="18" t="s">
        <v>4</v>
      </c>
      <c r="H1" s="18" t="s">
        <v>5</v>
      </c>
      <c r="I1" s="18" t="s">
        <v>6</v>
      </c>
      <c r="J1" s="18" t="s">
        <v>7</v>
      </c>
      <c r="K1" s="18" t="s">
        <v>8</v>
      </c>
      <c r="L1" s="18" t="s">
        <v>9</v>
      </c>
      <c r="M1" s="18" t="s">
        <v>58</v>
      </c>
    </row>
    <row r="2" spans="1:13" x14ac:dyDescent="0.3">
      <c r="A2" s="19" t="s">
        <v>10</v>
      </c>
      <c r="B2" s="11">
        <v>7.08</v>
      </c>
      <c r="C2" s="11">
        <v>2.44</v>
      </c>
      <c r="D2" s="11">
        <v>0.86</v>
      </c>
      <c r="E2" s="11">
        <v>1.1000000000000001</v>
      </c>
      <c r="F2" s="11">
        <v>0</v>
      </c>
      <c r="G2" s="11">
        <v>0</v>
      </c>
      <c r="H2" s="11">
        <v>0</v>
      </c>
      <c r="I2" s="11">
        <v>0</v>
      </c>
      <c r="J2" s="11">
        <v>0</v>
      </c>
      <c r="K2" s="11">
        <v>0</v>
      </c>
      <c r="L2" s="11">
        <v>2.74</v>
      </c>
      <c r="M2" s="21">
        <f>SUM(B2:L2)</f>
        <v>14.219999999999999</v>
      </c>
    </row>
    <row r="3" spans="1:13" x14ac:dyDescent="0.3">
      <c r="A3" s="19" t="s">
        <v>11</v>
      </c>
      <c r="B3" s="11">
        <v>20.28</v>
      </c>
      <c r="C3" s="11">
        <v>11.48</v>
      </c>
      <c r="D3" s="11">
        <v>2.08</v>
      </c>
      <c r="E3" s="11">
        <v>0</v>
      </c>
      <c r="F3" s="11">
        <v>9.6</v>
      </c>
      <c r="G3" s="11">
        <v>0</v>
      </c>
      <c r="H3" s="11">
        <v>2</v>
      </c>
      <c r="I3" s="11">
        <v>2</v>
      </c>
      <c r="J3" s="11">
        <v>8.0399999999999991</v>
      </c>
      <c r="K3" s="11">
        <v>0</v>
      </c>
      <c r="L3" s="11">
        <v>27.38</v>
      </c>
      <c r="M3" s="21">
        <f>SUM(B3:L3)</f>
        <v>82.86</v>
      </c>
    </row>
    <row r="4" spans="1:13" x14ac:dyDescent="0.3">
      <c r="A4" s="19" t="s">
        <v>12</v>
      </c>
      <c r="B4" s="11">
        <v>15.36</v>
      </c>
      <c r="C4" s="11">
        <v>4.5</v>
      </c>
      <c r="D4" s="11">
        <v>0</v>
      </c>
      <c r="E4" s="11">
        <v>1.58</v>
      </c>
      <c r="F4" s="11">
        <v>30.6</v>
      </c>
      <c r="G4" s="11">
        <v>0</v>
      </c>
      <c r="H4" s="11">
        <v>0</v>
      </c>
      <c r="I4" s="11">
        <v>0</v>
      </c>
      <c r="J4" s="11">
        <v>9.34</v>
      </c>
      <c r="K4" s="11">
        <v>0</v>
      </c>
      <c r="L4" s="11">
        <v>1.48</v>
      </c>
      <c r="M4" s="21">
        <f>SUM(B4:L4)</f>
        <v>62.859999999999992</v>
      </c>
    </row>
    <row r="5" spans="1:13" x14ac:dyDescent="0.3">
      <c r="A5" s="19" t="s">
        <v>13</v>
      </c>
      <c r="B5" s="11">
        <v>21.96</v>
      </c>
      <c r="C5" s="11">
        <v>0</v>
      </c>
      <c r="D5" s="11">
        <v>1.64</v>
      </c>
      <c r="E5" s="11">
        <v>3.3</v>
      </c>
      <c r="F5" s="11">
        <v>36.619999999999997</v>
      </c>
      <c r="G5" s="11">
        <v>0</v>
      </c>
      <c r="H5" s="11">
        <v>0</v>
      </c>
      <c r="I5" s="11">
        <v>0.96</v>
      </c>
      <c r="J5" s="11">
        <v>16.78</v>
      </c>
      <c r="K5" s="11">
        <v>0</v>
      </c>
      <c r="L5" s="11">
        <v>32.659999999999997</v>
      </c>
      <c r="M5" s="21">
        <f>SUM(B5:L5)</f>
        <v>113.91999999999999</v>
      </c>
    </row>
    <row r="6" spans="1:13" x14ac:dyDescent="0.3">
      <c r="A6" s="19" t="s">
        <v>14</v>
      </c>
      <c r="B6" s="11">
        <v>17.64</v>
      </c>
      <c r="C6" s="11">
        <v>4.24</v>
      </c>
      <c r="D6" s="11">
        <v>0</v>
      </c>
      <c r="E6" s="11">
        <v>2.2999999999999998</v>
      </c>
      <c r="F6" s="11">
        <v>12.08</v>
      </c>
      <c r="G6" s="11">
        <v>0</v>
      </c>
      <c r="H6" s="11">
        <v>0</v>
      </c>
      <c r="I6" s="11">
        <v>0.14000000000000001</v>
      </c>
      <c r="J6" s="11">
        <v>21.04</v>
      </c>
      <c r="K6" s="11">
        <v>0</v>
      </c>
      <c r="L6" s="11">
        <v>20.18</v>
      </c>
      <c r="M6" s="21">
        <f>SUM(B6:L6)</f>
        <v>77.62</v>
      </c>
    </row>
    <row r="7" spans="1:13" x14ac:dyDescent="0.3">
      <c r="A7" s="19" t="s">
        <v>58</v>
      </c>
      <c r="B7" s="11">
        <f>SUM(B2:B6)</f>
        <v>82.320000000000007</v>
      </c>
      <c r="C7" s="11">
        <f t="shared" ref="C7:L7" si="0">SUM(C2:C6)</f>
        <v>22.660000000000004</v>
      </c>
      <c r="D7" s="11">
        <f t="shared" si="0"/>
        <v>4.58</v>
      </c>
      <c r="E7" s="11">
        <f t="shared" si="0"/>
        <v>8.2800000000000011</v>
      </c>
      <c r="F7" s="11">
        <f t="shared" si="0"/>
        <v>88.899999999999991</v>
      </c>
      <c r="G7" s="11">
        <f t="shared" si="0"/>
        <v>0</v>
      </c>
      <c r="H7" s="11">
        <f t="shared" si="0"/>
        <v>2</v>
      </c>
      <c r="I7" s="11">
        <f t="shared" si="0"/>
        <v>3.1</v>
      </c>
      <c r="J7" s="11">
        <f t="shared" si="0"/>
        <v>55.199999999999996</v>
      </c>
      <c r="K7" s="11">
        <f t="shared" si="0"/>
        <v>0</v>
      </c>
      <c r="L7" s="11">
        <f t="shared" si="0"/>
        <v>84.44</v>
      </c>
      <c r="M7" s="21">
        <f>SUM(M2:M6)</f>
        <v>351.48</v>
      </c>
    </row>
  </sheetData>
  <pageMargins left="0.75" right="0.75" top="1" bottom="1" header="0.5" footer="0.5"/>
  <headerFooter>
    <oddFooter>&amp;C_x000D_&amp;1#&amp;"Arial"&amp;10&amp;K29CF00 C2 - COLAS GROUP INTERNAL: Employees and partners who need to know.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C90D6-1901-4382-ADA2-86CD1B620E09}">
  <dimension ref="A1:P7"/>
  <sheetViews>
    <sheetView workbookViewId="0">
      <selection activeCell="A13" sqref="A13"/>
    </sheetView>
  </sheetViews>
  <sheetFormatPr baseColWidth="10" defaultColWidth="8.88671875" defaultRowHeight="14.4" x14ac:dyDescent="0.3"/>
  <cols>
    <col min="1" max="1" width="14.88671875" bestFit="1" customWidth="1"/>
    <col min="5" max="5" width="12.109375" bestFit="1" customWidth="1"/>
    <col min="7" max="7" width="17.6640625" bestFit="1" customWidth="1"/>
    <col min="9" max="9" width="6.109375" bestFit="1" customWidth="1"/>
    <col min="10" max="10" width="9.109375" bestFit="1" customWidth="1"/>
    <col min="11" max="11" width="6.21875" bestFit="1" customWidth="1"/>
    <col min="12" max="12" width="18.21875" bestFit="1" customWidth="1"/>
    <col min="16" max="16" width="13.33203125" bestFit="1" customWidth="1"/>
  </cols>
  <sheetData>
    <row r="1" spans="1:16" ht="15" thickBot="1" x14ac:dyDescent="0.35">
      <c r="A1" s="31" t="s">
        <v>57</v>
      </c>
      <c r="B1" s="23" t="s">
        <v>0</v>
      </c>
      <c r="C1" s="6" t="s">
        <v>1</v>
      </c>
      <c r="D1" s="6" t="s">
        <v>53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55</v>
      </c>
      <c r="N1" s="6" t="s">
        <v>5</v>
      </c>
      <c r="O1" s="7" t="s">
        <v>56</v>
      </c>
      <c r="P1" s="24" t="s">
        <v>59</v>
      </c>
    </row>
    <row r="2" spans="1:16" x14ac:dyDescent="0.3">
      <c r="A2" s="25" t="s">
        <v>10</v>
      </c>
      <c r="B2" s="26">
        <v>0</v>
      </c>
      <c r="C2" s="26">
        <v>0</v>
      </c>
      <c r="D2" s="26">
        <v>0</v>
      </c>
      <c r="E2" s="26">
        <v>0</v>
      </c>
      <c r="F2" s="26">
        <v>0</v>
      </c>
      <c r="G2" s="26">
        <v>0</v>
      </c>
      <c r="H2" s="26">
        <v>0</v>
      </c>
      <c r="I2" s="26">
        <v>0</v>
      </c>
      <c r="J2" s="26">
        <v>0</v>
      </c>
      <c r="K2" s="26">
        <v>0</v>
      </c>
      <c r="L2" s="26">
        <v>0</v>
      </c>
      <c r="M2" s="26">
        <v>0</v>
      </c>
      <c r="N2" s="26">
        <v>0</v>
      </c>
      <c r="O2" s="26">
        <v>0</v>
      </c>
      <c r="P2" s="30">
        <v>0</v>
      </c>
    </row>
    <row r="3" spans="1:16" x14ac:dyDescent="0.3">
      <c r="A3" s="27" t="s">
        <v>11</v>
      </c>
      <c r="B3" s="28">
        <f>1.22+1.6+2.42</f>
        <v>5.24</v>
      </c>
      <c r="C3" s="11">
        <f>0.28+0.32+0.28+0.16+0.14</f>
        <v>1.1800000000000002</v>
      </c>
      <c r="D3" s="11"/>
      <c r="E3" s="11">
        <f>0.06</f>
        <v>0.06</v>
      </c>
      <c r="F3" s="11">
        <f>1.62+0.48+0.02+1.76+0.24+0.6+0.42</f>
        <v>5.14</v>
      </c>
      <c r="G3" s="11"/>
      <c r="H3" s="11"/>
      <c r="I3" s="11">
        <f>0.1+0.36+0.1+0.28+0.1</f>
        <v>0.94</v>
      </c>
      <c r="J3" s="11">
        <f>1.78</f>
        <v>1.78</v>
      </c>
      <c r="K3" s="11">
        <f>0.08+0.04</f>
        <v>0.12</v>
      </c>
      <c r="L3" s="11">
        <f>0.7+1.84+0.7+5.24</f>
        <v>8.48</v>
      </c>
      <c r="M3" s="11">
        <f>0.06+0.06+0.08</f>
        <v>0.2</v>
      </c>
      <c r="N3" s="11"/>
      <c r="O3" s="11"/>
      <c r="P3" s="21">
        <f t="shared" ref="P3:P6" si="0">SUM(B3:O3)</f>
        <v>23.139999999999997</v>
      </c>
    </row>
    <row r="4" spans="1:16" x14ac:dyDescent="0.3">
      <c r="A4" s="27" t="s">
        <v>12</v>
      </c>
      <c r="B4" s="28">
        <f>4.02+0.34+0.44+0.04+0.46+0.26+0.28+0.22</f>
        <v>6.06</v>
      </c>
      <c r="C4" s="11">
        <f>0.08+0.12+0.12+0.32+0.28+0.14+0.22</f>
        <v>1.28</v>
      </c>
      <c r="D4" s="11">
        <v>0.12</v>
      </c>
      <c r="E4" s="11">
        <f>0.1+0.04+0.06+0.02</f>
        <v>0.22</v>
      </c>
      <c r="F4" s="11">
        <f>0.08+0.06+0.08+2.76+0.66+0.24+0.12+1.8+2.96+1.14+0.06+0.12</f>
        <v>10.08</v>
      </c>
      <c r="G4" s="11"/>
      <c r="H4" s="11"/>
      <c r="I4" s="11">
        <f>0.04+0.06+0.14</f>
        <v>0.24000000000000002</v>
      </c>
      <c r="J4" s="11">
        <f>0.12+0.06+0.94+0.24</f>
        <v>1.3599999999999999</v>
      </c>
      <c r="K4" s="11">
        <v>0.04</v>
      </c>
      <c r="L4" s="11">
        <f>0.08+0.06+0.06</f>
        <v>0.2</v>
      </c>
      <c r="M4" s="11">
        <f>0.04+0.08+0.14</f>
        <v>0.26</v>
      </c>
      <c r="N4" s="11">
        <v>0.2</v>
      </c>
      <c r="O4" s="11"/>
      <c r="P4" s="21">
        <f t="shared" si="0"/>
        <v>20.059999999999995</v>
      </c>
    </row>
    <row r="5" spans="1:16" x14ac:dyDescent="0.3">
      <c r="A5" s="27" t="s">
        <v>13</v>
      </c>
      <c r="B5" s="28">
        <f>0.88+0.08+0.5+0.18+0.78+0.6+0.7+9.82+0.74+2.48+0.56+0.58+4.02</f>
        <v>21.919999999999995</v>
      </c>
      <c r="C5" s="11">
        <f>0.22+0.26+0.08+0.1+0.16+0.64+0.14+0.04+0.06+0.3+0.12+0.08+0.04+0.26+0.06+0.12</f>
        <v>2.68</v>
      </c>
      <c r="D5" s="11"/>
      <c r="E5" s="11">
        <f>0.38+0.3+0.1+0.16+0.08+0.06+0.2+2.88+0.16+0.04+0.12+0.5+0.06</f>
        <v>5.04</v>
      </c>
      <c r="F5" s="11">
        <f>2.62+0.64+2.84+2.92+5.84+0.2+3.48+0.04+1.68+0.02+0.56+0.4+0.26+0.1+0.34+0.14</f>
        <v>22.08</v>
      </c>
      <c r="G5" s="11"/>
      <c r="H5" s="11"/>
      <c r="I5" s="11">
        <f>0.58+0.22</f>
        <v>0.79999999999999993</v>
      </c>
      <c r="J5" s="11">
        <f>0.12+0.44+3.04+0.62+1.46+2.16+0.22+0.24+0.28+0.06+0.02+0.06+0.2+0.3+1.96+0.14+1.02</f>
        <v>12.34</v>
      </c>
      <c r="K5" s="11">
        <f>0.56+0.3</f>
        <v>0.8600000000000001</v>
      </c>
      <c r="L5" s="11">
        <f>0.16+0.62+0.44+0.06+0.54+0.26+0.04+1.24+0.32+0.14+1+8.8+0.56+0.14+0.06+4.16+0.14+0.3+2.28+1+0.08+0.24</f>
        <v>22.580000000000002</v>
      </c>
      <c r="M5" s="11">
        <f>0.04+0.02+0.2+0.84+0.04+0.08</f>
        <v>1.2200000000000002</v>
      </c>
      <c r="N5" s="11"/>
      <c r="O5" s="11">
        <f>0.08+0.04+0.14+0.02</f>
        <v>0.28000000000000003</v>
      </c>
      <c r="P5" s="21">
        <f t="shared" si="0"/>
        <v>89.799999999999983</v>
      </c>
    </row>
    <row r="6" spans="1:16" ht="15" thickBot="1" x14ac:dyDescent="0.35">
      <c r="A6" s="29" t="s">
        <v>14</v>
      </c>
      <c r="B6" s="28">
        <f>1.04+2.44+12.28+2.2+1.54+0.96+0.22+0.18</f>
        <v>20.86</v>
      </c>
      <c r="C6" s="11">
        <f>1.04+1.64+1.32+0.4+0.84+0.1+0.14+0.12</f>
        <v>5.6</v>
      </c>
      <c r="D6" s="11"/>
      <c r="E6" s="11">
        <f>0.26+3.12</f>
        <v>3.38</v>
      </c>
      <c r="F6" s="11">
        <f>1.2+0.72+5.78+0.14+2.16+7.06+0.48+0.22+0.18+0.1+1.62</f>
        <v>19.66</v>
      </c>
      <c r="G6" s="11"/>
      <c r="H6" s="11"/>
      <c r="I6" s="11">
        <f>0.25+0.76+0.5+0.22+0.06+0.06</f>
        <v>1.85</v>
      </c>
      <c r="J6" s="11">
        <f>0.64+0.26+0.2+0.1+0.18+1.88</f>
        <v>3.26</v>
      </c>
      <c r="K6" s="11">
        <f>0.06+0.08+0.64+0.1+0.02</f>
        <v>0.9</v>
      </c>
      <c r="L6" s="11">
        <f>0.88+2.08+3.84+0.22+4.34+0.34+0.12+0.06+0.06+0.46</f>
        <v>12.4</v>
      </c>
      <c r="M6" s="11"/>
      <c r="N6" s="11"/>
      <c r="O6" s="11">
        <f>0.08+0.32+0.34+0.18+0.1+0.08</f>
        <v>1.1000000000000001</v>
      </c>
      <c r="P6" s="21">
        <f t="shared" si="0"/>
        <v>69.009999999999991</v>
      </c>
    </row>
    <row r="7" spans="1:16" x14ac:dyDescent="0.3">
      <c r="P7">
        <f>SUM(P2:P6)</f>
        <v>202.00999999999996</v>
      </c>
    </row>
  </sheetData>
  <pageMargins left="0.75" right="0.75" top="1" bottom="1" header="0.5" footer="0.5"/>
  <headerFooter>
    <oddFooter>&amp;C_x000D_&amp;1#&amp;"Arial"&amp;10&amp;K29CF00 C2 - COLAS GROUP INTERNAL: Employees and partners who need to know.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8443-BBD1-46F2-A3CE-400E73FEC056}">
  <dimension ref="B1:R45"/>
  <sheetViews>
    <sheetView zoomScale="70" zoomScaleNormal="70" workbookViewId="0">
      <selection activeCell="L9" sqref="L9"/>
    </sheetView>
  </sheetViews>
  <sheetFormatPr baseColWidth="10" defaultColWidth="8.88671875" defaultRowHeight="14.4" x14ac:dyDescent="0.3"/>
  <cols>
    <col min="2" max="2" width="24.6640625" bestFit="1" customWidth="1"/>
    <col min="3" max="3" width="11.6640625" bestFit="1" customWidth="1"/>
    <col min="4" max="4" width="12.44140625" bestFit="1" customWidth="1"/>
    <col min="5" max="5" width="14.44140625" bestFit="1" customWidth="1"/>
    <col min="6" max="6" width="12.77734375" bestFit="1" customWidth="1"/>
    <col min="7" max="7" width="20" bestFit="1" customWidth="1"/>
    <col min="12" max="12" width="20.5546875" bestFit="1" customWidth="1"/>
    <col min="13" max="13" width="18.21875" bestFit="1" customWidth="1"/>
    <col min="14" max="14" width="18.33203125" bestFit="1" customWidth="1"/>
    <col min="15" max="15" width="19.77734375" bestFit="1" customWidth="1"/>
    <col min="16" max="16" width="19.109375" bestFit="1" customWidth="1"/>
    <col min="17" max="17" width="24.33203125" bestFit="1" customWidth="1"/>
    <col min="20" max="20" width="11.88671875" bestFit="1" customWidth="1"/>
    <col min="22" max="22" width="12.6640625" bestFit="1" customWidth="1"/>
    <col min="24" max="24" width="18.33203125" bestFit="1" customWidth="1"/>
    <col min="25" max="25" width="10.6640625" bestFit="1" customWidth="1"/>
    <col min="26" max="26" width="16.21875" bestFit="1" customWidth="1"/>
    <col min="27" max="27" width="14.88671875" bestFit="1" customWidth="1"/>
    <col min="28" max="28" width="16.6640625" bestFit="1" customWidth="1"/>
    <col min="29" max="29" width="10.44140625" bestFit="1" customWidth="1"/>
    <col min="31" max="31" width="16.33203125" bestFit="1" customWidth="1"/>
    <col min="32" max="32" width="10.109375" bestFit="1" customWidth="1"/>
    <col min="34" max="34" width="13.33203125" bestFit="1" customWidth="1"/>
  </cols>
  <sheetData>
    <row r="1" spans="2:18" ht="15" thickBot="1" x14ac:dyDescent="0.35"/>
    <row r="2" spans="2:18" ht="15" thickBot="1" x14ac:dyDescent="0.35">
      <c r="B2" s="5" t="s">
        <v>54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7" t="s">
        <v>69</v>
      </c>
      <c r="L2" s="1" t="s">
        <v>62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s="17" t="s">
        <v>58</v>
      </c>
    </row>
    <row r="3" spans="2:18" x14ac:dyDescent="0.3">
      <c r="B3" s="8" t="s">
        <v>18</v>
      </c>
      <c r="C3" s="9">
        <v>0</v>
      </c>
      <c r="D3" s="9">
        <v>0</v>
      </c>
      <c r="E3" s="9">
        <v>0</v>
      </c>
      <c r="F3" s="9">
        <f>14.84</f>
        <v>14.84</v>
      </c>
      <c r="G3" s="9">
        <v>0.5</v>
      </c>
      <c r="H3" s="14">
        <f>SUM(C3:G3)</f>
        <v>15.34</v>
      </c>
      <c r="L3" s="2" t="s">
        <v>19</v>
      </c>
      <c r="M3" s="4">
        <v>0</v>
      </c>
      <c r="N3" s="4">
        <v>0</v>
      </c>
      <c r="O3" s="4">
        <v>0</v>
      </c>
      <c r="P3" s="4">
        <v>0</v>
      </c>
      <c r="Q3" s="4"/>
      <c r="R3">
        <f>SUM(M3:Q3)</f>
        <v>0</v>
      </c>
    </row>
    <row r="4" spans="2:18" x14ac:dyDescent="0.3">
      <c r="B4" s="10" t="s">
        <v>19</v>
      </c>
      <c r="C4" s="11">
        <v>0</v>
      </c>
      <c r="D4" s="11">
        <v>0</v>
      </c>
      <c r="E4" s="11">
        <v>0</v>
      </c>
      <c r="F4" s="11">
        <v>0</v>
      </c>
      <c r="G4" s="11"/>
      <c r="H4" s="15">
        <f t="shared" ref="H4:H44" si="0">SUM(C4:G4)</f>
        <v>0</v>
      </c>
      <c r="L4" s="2" t="s">
        <v>45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>
        <f t="shared" ref="R4:R41" si="1">SUM(M4:Q4)</f>
        <v>0</v>
      </c>
    </row>
    <row r="5" spans="2:18" x14ac:dyDescent="0.3">
      <c r="B5" s="10" t="s">
        <v>20</v>
      </c>
      <c r="C5" s="11">
        <v>0</v>
      </c>
      <c r="D5" s="11">
        <v>0</v>
      </c>
      <c r="E5" s="11">
        <v>0</v>
      </c>
      <c r="F5" s="11">
        <v>0</v>
      </c>
      <c r="G5" s="11"/>
      <c r="H5" s="15">
        <f t="shared" si="0"/>
        <v>0</v>
      </c>
      <c r="L5" s="2" t="s">
        <v>33</v>
      </c>
      <c r="M5" s="4">
        <v>0</v>
      </c>
      <c r="N5" s="4">
        <v>0</v>
      </c>
      <c r="O5" s="4">
        <v>0</v>
      </c>
      <c r="P5" s="4">
        <v>3.62</v>
      </c>
      <c r="Q5" s="4">
        <v>0</v>
      </c>
      <c r="R5">
        <f t="shared" si="1"/>
        <v>3.62</v>
      </c>
    </row>
    <row r="6" spans="2:18" x14ac:dyDescent="0.3">
      <c r="B6" s="10" t="s">
        <v>21</v>
      </c>
      <c r="C6" s="11">
        <v>0</v>
      </c>
      <c r="D6" s="11">
        <v>0</v>
      </c>
      <c r="E6" s="11">
        <v>0</v>
      </c>
      <c r="F6" s="11">
        <v>0</v>
      </c>
      <c r="G6" s="11">
        <f>0.36</f>
        <v>0.36</v>
      </c>
      <c r="H6" s="15">
        <f t="shared" si="0"/>
        <v>0.36</v>
      </c>
      <c r="L6" s="2" t="s">
        <v>30</v>
      </c>
      <c r="M6" s="4">
        <v>0</v>
      </c>
      <c r="N6" s="4">
        <v>0</v>
      </c>
      <c r="O6" s="4">
        <v>1.1000000000000001</v>
      </c>
      <c r="P6" s="4">
        <v>8.68</v>
      </c>
      <c r="Q6" s="4">
        <v>0</v>
      </c>
      <c r="R6">
        <f t="shared" si="1"/>
        <v>9.7799999999999994</v>
      </c>
    </row>
    <row r="7" spans="2:18" x14ac:dyDescent="0.3">
      <c r="B7" s="10" t="s">
        <v>22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5">
        <f t="shared" si="0"/>
        <v>0</v>
      </c>
      <c r="L7" s="2" t="s">
        <v>32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>
        <f t="shared" si="1"/>
        <v>0</v>
      </c>
    </row>
    <row r="8" spans="2:18" x14ac:dyDescent="0.3">
      <c r="B8" s="10" t="s">
        <v>23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5">
        <f t="shared" si="0"/>
        <v>0</v>
      </c>
      <c r="L8" s="2" t="s">
        <v>46</v>
      </c>
      <c r="M8" s="4">
        <v>0</v>
      </c>
      <c r="N8" s="4">
        <v>0</v>
      </c>
      <c r="O8" s="4">
        <v>1.8</v>
      </c>
      <c r="P8" s="4">
        <v>0</v>
      </c>
      <c r="Q8" s="4">
        <v>0</v>
      </c>
      <c r="R8">
        <f t="shared" si="1"/>
        <v>1.8</v>
      </c>
    </row>
    <row r="9" spans="2:18" x14ac:dyDescent="0.3">
      <c r="B9" s="10" t="s">
        <v>24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5">
        <f t="shared" si="0"/>
        <v>0</v>
      </c>
      <c r="L9" s="2" t="s">
        <v>43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>
        <f t="shared" si="1"/>
        <v>0</v>
      </c>
    </row>
    <row r="10" spans="2:18" x14ac:dyDescent="0.3">
      <c r="B10" s="10" t="s">
        <v>25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5">
        <f t="shared" si="0"/>
        <v>0</v>
      </c>
      <c r="L10" s="2" t="s">
        <v>36</v>
      </c>
      <c r="M10" s="4">
        <v>0</v>
      </c>
      <c r="N10" s="4">
        <v>5.44</v>
      </c>
      <c r="O10" s="4"/>
      <c r="P10" s="4">
        <v>14.58</v>
      </c>
      <c r="Q10" s="4">
        <v>39.4</v>
      </c>
      <c r="R10">
        <f t="shared" si="1"/>
        <v>59.42</v>
      </c>
    </row>
    <row r="11" spans="2:18" x14ac:dyDescent="0.3">
      <c r="B11" s="10" t="s">
        <v>26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5">
        <f t="shared" si="0"/>
        <v>0</v>
      </c>
      <c r="L11" s="2" t="s">
        <v>52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>
        <f t="shared" si="1"/>
        <v>0</v>
      </c>
    </row>
    <row r="12" spans="2:18" x14ac:dyDescent="0.3">
      <c r="B12" s="10" t="s">
        <v>16</v>
      </c>
      <c r="C12" s="11">
        <v>0</v>
      </c>
      <c r="D12" s="11">
        <v>0</v>
      </c>
      <c r="E12" s="11">
        <v>0</v>
      </c>
      <c r="F12" s="11">
        <f>0.3+5.04+1.8</f>
        <v>7.14</v>
      </c>
      <c r="G12" s="11">
        <f>9.98+10.2+0.6+0.34+0.1+4.34</f>
        <v>25.560000000000002</v>
      </c>
      <c r="H12" s="15">
        <f t="shared" si="0"/>
        <v>32.700000000000003</v>
      </c>
      <c r="L12" s="2" t="s">
        <v>20</v>
      </c>
      <c r="M12" s="4">
        <v>0</v>
      </c>
      <c r="N12" s="4">
        <v>0</v>
      </c>
      <c r="O12" s="4">
        <v>0</v>
      </c>
      <c r="P12" s="4">
        <v>0</v>
      </c>
      <c r="Q12" s="4"/>
      <c r="R12">
        <f t="shared" si="1"/>
        <v>0</v>
      </c>
    </row>
    <row r="13" spans="2:18" x14ac:dyDescent="0.3">
      <c r="B13" s="10" t="s">
        <v>27</v>
      </c>
      <c r="C13" s="11">
        <v>0</v>
      </c>
      <c r="D13" s="11">
        <v>0</v>
      </c>
      <c r="E13" s="11">
        <v>0</v>
      </c>
      <c r="F13" s="11">
        <v>0</v>
      </c>
      <c r="G13" s="11"/>
      <c r="H13" s="15">
        <f t="shared" si="0"/>
        <v>0</v>
      </c>
      <c r="L13" s="2" t="s">
        <v>15</v>
      </c>
      <c r="M13" s="4">
        <v>0</v>
      </c>
      <c r="N13" s="4">
        <v>0</v>
      </c>
      <c r="O13" s="4">
        <v>0</v>
      </c>
      <c r="P13" s="4">
        <v>2.9</v>
      </c>
      <c r="Q13" s="4">
        <v>0</v>
      </c>
      <c r="R13">
        <f t="shared" si="1"/>
        <v>2.9</v>
      </c>
    </row>
    <row r="14" spans="2:18" x14ac:dyDescent="0.3">
      <c r="B14" s="10" t="s">
        <v>28</v>
      </c>
      <c r="C14" s="11">
        <v>0</v>
      </c>
      <c r="D14" s="11">
        <v>0</v>
      </c>
      <c r="E14" s="11">
        <f>0.2</f>
        <v>0.2</v>
      </c>
      <c r="F14" s="11">
        <v>0</v>
      </c>
      <c r="G14" s="11">
        <v>0.64</v>
      </c>
      <c r="H14" s="15">
        <f t="shared" si="0"/>
        <v>0.84000000000000008</v>
      </c>
      <c r="L14" s="2" t="s">
        <v>17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>
        <f t="shared" si="1"/>
        <v>0</v>
      </c>
    </row>
    <row r="15" spans="2:18" x14ac:dyDescent="0.3">
      <c r="B15" s="10" t="s">
        <v>29</v>
      </c>
      <c r="C15" s="11">
        <v>0</v>
      </c>
      <c r="D15" s="11">
        <v>0</v>
      </c>
      <c r="E15" s="11">
        <v>0</v>
      </c>
      <c r="F15" s="11">
        <v>0.78</v>
      </c>
      <c r="G15" s="11">
        <v>0</v>
      </c>
      <c r="H15" s="15">
        <f t="shared" si="0"/>
        <v>0.78</v>
      </c>
      <c r="L15" s="2" t="s">
        <v>48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>
        <f t="shared" si="1"/>
        <v>0</v>
      </c>
    </row>
    <row r="16" spans="2:18" x14ac:dyDescent="0.3">
      <c r="B16" s="10" t="s">
        <v>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5">
        <f t="shared" si="0"/>
        <v>0</v>
      </c>
      <c r="L16" s="2" t="s">
        <v>34</v>
      </c>
      <c r="M16" s="4">
        <v>0</v>
      </c>
      <c r="N16" s="4">
        <v>0</v>
      </c>
      <c r="O16" s="4">
        <v>0</v>
      </c>
      <c r="P16" s="4">
        <v>1.38</v>
      </c>
      <c r="Q16" s="4">
        <v>1.42</v>
      </c>
      <c r="R16">
        <f t="shared" si="1"/>
        <v>2.8</v>
      </c>
    </row>
    <row r="17" spans="2:18" x14ac:dyDescent="0.3">
      <c r="B17" s="10" t="s">
        <v>31</v>
      </c>
      <c r="C17" s="11">
        <v>0</v>
      </c>
      <c r="D17" s="11">
        <v>0</v>
      </c>
      <c r="E17" s="11">
        <v>0</v>
      </c>
      <c r="F17" s="11">
        <f>0.04</f>
        <v>0.04</v>
      </c>
      <c r="G17" s="11">
        <v>0</v>
      </c>
      <c r="H17" s="15">
        <f t="shared" si="0"/>
        <v>0.04</v>
      </c>
      <c r="L17" s="2" t="s">
        <v>38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>
        <f t="shared" si="1"/>
        <v>0</v>
      </c>
    </row>
    <row r="18" spans="2:18" x14ac:dyDescent="0.3">
      <c r="B18" s="10" t="s">
        <v>32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5">
        <f t="shared" si="0"/>
        <v>0</v>
      </c>
      <c r="L18" s="2" t="s">
        <v>39</v>
      </c>
      <c r="M18" s="4">
        <v>0</v>
      </c>
      <c r="N18" s="4">
        <v>0</v>
      </c>
      <c r="O18" s="4">
        <v>4.4399999999999995</v>
      </c>
      <c r="P18" s="4">
        <v>5.4799999999999995</v>
      </c>
      <c r="Q18" s="4">
        <v>0</v>
      </c>
      <c r="R18">
        <f t="shared" si="1"/>
        <v>9.9199999999999982</v>
      </c>
    </row>
    <row r="19" spans="2:18" x14ac:dyDescent="0.3">
      <c r="B19" s="10" t="s">
        <v>15</v>
      </c>
      <c r="C19" s="11">
        <v>0</v>
      </c>
      <c r="D19" s="11">
        <v>0</v>
      </c>
      <c r="E19" s="11">
        <v>0</v>
      </c>
      <c r="F19" s="11">
        <f>1.4+1.5</f>
        <v>2.9</v>
      </c>
      <c r="G19" s="11">
        <v>0</v>
      </c>
      <c r="H19" s="15">
        <f t="shared" si="0"/>
        <v>2.9</v>
      </c>
      <c r="L19" s="2" t="s">
        <v>26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>
        <f t="shared" si="1"/>
        <v>0</v>
      </c>
    </row>
    <row r="20" spans="2:18" x14ac:dyDescent="0.3">
      <c r="B20" s="10" t="s">
        <v>44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5">
        <f t="shared" si="0"/>
        <v>0</v>
      </c>
      <c r="L20" s="2" t="s">
        <v>50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>
        <f t="shared" si="1"/>
        <v>0</v>
      </c>
    </row>
    <row r="21" spans="2:18" x14ac:dyDescent="0.3">
      <c r="B21" s="10" t="s">
        <v>33</v>
      </c>
      <c r="C21" s="11">
        <v>0</v>
      </c>
      <c r="D21" s="11">
        <v>0</v>
      </c>
      <c r="E21" s="11">
        <v>0</v>
      </c>
      <c r="F21" s="11">
        <f>1.46+2.16</f>
        <v>3.62</v>
      </c>
      <c r="G21" s="11">
        <v>0</v>
      </c>
      <c r="H21" s="15">
        <f t="shared" si="0"/>
        <v>3.62</v>
      </c>
      <c r="L21" s="2" t="s">
        <v>16</v>
      </c>
      <c r="M21" s="4">
        <v>0</v>
      </c>
      <c r="N21" s="4">
        <v>0</v>
      </c>
      <c r="O21" s="4">
        <v>0</v>
      </c>
      <c r="P21" s="4">
        <v>7.14</v>
      </c>
      <c r="Q21" s="4">
        <v>25.560000000000002</v>
      </c>
      <c r="R21">
        <f t="shared" si="1"/>
        <v>32.700000000000003</v>
      </c>
    </row>
    <row r="22" spans="2:18" x14ac:dyDescent="0.3">
      <c r="B22" s="10" t="s">
        <v>34</v>
      </c>
      <c r="C22" s="11">
        <v>0</v>
      </c>
      <c r="D22" s="11">
        <v>0</v>
      </c>
      <c r="E22" s="11">
        <v>0</v>
      </c>
      <c r="F22" s="11">
        <f>1.38</f>
        <v>1.38</v>
      </c>
      <c r="G22" s="11">
        <v>1.42</v>
      </c>
      <c r="H22" s="15">
        <f t="shared" si="0"/>
        <v>2.8</v>
      </c>
      <c r="L22" s="2" t="s">
        <v>23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>
        <f t="shared" si="1"/>
        <v>0</v>
      </c>
    </row>
    <row r="23" spans="2:18" x14ac:dyDescent="0.3">
      <c r="B23" s="10" t="s">
        <v>17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5">
        <f t="shared" si="0"/>
        <v>0</v>
      </c>
      <c r="L23" s="2" t="s">
        <v>41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>
        <f t="shared" si="1"/>
        <v>0</v>
      </c>
    </row>
    <row r="24" spans="2:18" x14ac:dyDescent="0.3">
      <c r="B24" s="10" t="s">
        <v>35</v>
      </c>
      <c r="C24" s="11">
        <v>0</v>
      </c>
      <c r="D24" s="11">
        <v>0</v>
      </c>
      <c r="E24" s="11">
        <v>0</v>
      </c>
      <c r="F24" s="11">
        <f>3.2+0.8+0.48+0.14</f>
        <v>4.62</v>
      </c>
      <c r="G24" s="11">
        <v>0</v>
      </c>
      <c r="H24" s="15">
        <f t="shared" si="0"/>
        <v>4.62</v>
      </c>
      <c r="L24" s="2" t="s">
        <v>37</v>
      </c>
      <c r="M24" s="4">
        <v>0</v>
      </c>
      <c r="N24" s="4">
        <v>17.98</v>
      </c>
      <c r="O24" s="4">
        <v>12.74</v>
      </c>
      <c r="P24" s="4">
        <v>26.19</v>
      </c>
      <c r="Q24" s="4">
        <v>0.18</v>
      </c>
      <c r="R24">
        <f t="shared" si="1"/>
        <v>57.089999999999996</v>
      </c>
    </row>
    <row r="25" spans="2:18" x14ac:dyDescent="0.3">
      <c r="B25" s="10" t="s">
        <v>36</v>
      </c>
      <c r="C25" s="11">
        <v>0</v>
      </c>
      <c r="D25" s="11">
        <f>5.44</f>
        <v>5.44</v>
      </c>
      <c r="E25" s="11"/>
      <c r="F25" s="11">
        <f>14.2+0.38</f>
        <v>14.58</v>
      </c>
      <c r="G25" s="11">
        <f>7.06+5.34+27</f>
        <v>39.4</v>
      </c>
      <c r="H25" s="15">
        <f t="shared" si="0"/>
        <v>59.42</v>
      </c>
      <c r="L25" s="2" t="s">
        <v>28</v>
      </c>
      <c r="M25" s="4">
        <v>0</v>
      </c>
      <c r="N25" s="4">
        <v>0</v>
      </c>
      <c r="O25" s="4">
        <v>0.2</v>
      </c>
      <c r="P25" s="4">
        <v>0</v>
      </c>
      <c r="Q25" s="4">
        <v>0.64</v>
      </c>
      <c r="R25">
        <f t="shared" si="1"/>
        <v>0.84000000000000008</v>
      </c>
    </row>
    <row r="26" spans="2:18" x14ac:dyDescent="0.3">
      <c r="B26" s="10" t="s">
        <v>37</v>
      </c>
      <c r="C26" s="11">
        <v>0</v>
      </c>
      <c r="D26" s="11">
        <f>4+1.68+2.92+3.14+6.08+0.16</f>
        <v>17.98</v>
      </c>
      <c r="E26" s="11">
        <f>0.12+0.24+3.16+0.04+1.28+0.4+0.22+1.06+4.08+1.92+0.22</f>
        <v>12.74</v>
      </c>
      <c r="F26" s="11">
        <f>3.88+3.44+6.58+1.88+2.4+1.12+1.52+0.78+2.98+1.61</f>
        <v>26.19</v>
      </c>
      <c r="G26" s="11">
        <v>0.18</v>
      </c>
      <c r="H26" s="15">
        <f t="shared" si="0"/>
        <v>57.089999999999996</v>
      </c>
      <c r="L26" s="2" t="s">
        <v>29</v>
      </c>
      <c r="M26" s="4">
        <v>0</v>
      </c>
      <c r="N26" s="4">
        <v>0</v>
      </c>
      <c r="O26" s="4">
        <v>0</v>
      </c>
      <c r="P26" s="4">
        <v>0.78</v>
      </c>
      <c r="Q26" s="4">
        <v>0</v>
      </c>
      <c r="R26">
        <f t="shared" si="1"/>
        <v>0.78</v>
      </c>
    </row>
    <row r="27" spans="2:18" x14ac:dyDescent="0.3">
      <c r="B27" s="10" t="s">
        <v>38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5">
        <f t="shared" si="0"/>
        <v>0</v>
      </c>
      <c r="L27" s="2" t="s">
        <v>44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>
        <f t="shared" si="1"/>
        <v>0</v>
      </c>
    </row>
    <row r="28" spans="2:18" x14ac:dyDescent="0.3">
      <c r="B28" s="10" t="s">
        <v>39</v>
      </c>
      <c r="C28" s="11">
        <v>0</v>
      </c>
      <c r="D28" s="11">
        <v>0</v>
      </c>
      <c r="E28" s="11">
        <v>0.34</v>
      </c>
      <c r="F28" s="11">
        <f>4.1</f>
        <v>4.0999999999999996</v>
      </c>
      <c r="G28" s="11">
        <v>0</v>
      </c>
      <c r="H28" s="15">
        <f t="shared" si="0"/>
        <v>4.4399999999999995</v>
      </c>
      <c r="L28" s="2" t="s">
        <v>47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>
        <f t="shared" si="1"/>
        <v>0</v>
      </c>
    </row>
    <row r="29" spans="2:18" x14ac:dyDescent="0.3">
      <c r="B29" s="10" t="s">
        <v>40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5">
        <f t="shared" si="0"/>
        <v>0</v>
      </c>
      <c r="L29" s="2" t="s">
        <v>40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>
        <f t="shared" si="1"/>
        <v>0</v>
      </c>
    </row>
    <row r="30" spans="2:18" x14ac:dyDescent="0.3">
      <c r="B30" s="10" t="s">
        <v>41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5">
        <f t="shared" si="0"/>
        <v>0</v>
      </c>
      <c r="L30" s="2" t="s">
        <v>31</v>
      </c>
      <c r="M30" s="4">
        <v>0</v>
      </c>
      <c r="N30" s="4">
        <v>0</v>
      </c>
      <c r="O30" s="4">
        <v>0</v>
      </c>
      <c r="P30" s="4">
        <v>0.04</v>
      </c>
      <c r="Q30" s="4">
        <v>0</v>
      </c>
      <c r="R30">
        <f t="shared" si="1"/>
        <v>0.04</v>
      </c>
    </row>
    <row r="31" spans="2:18" x14ac:dyDescent="0.3">
      <c r="B31" s="10" t="s">
        <v>42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5">
        <f t="shared" si="0"/>
        <v>0</v>
      </c>
      <c r="L31" s="2" t="s">
        <v>35</v>
      </c>
      <c r="M31" s="4">
        <v>0</v>
      </c>
      <c r="N31" s="4">
        <v>0</v>
      </c>
      <c r="O31" s="4">
        <v>0</v>
      </c>
      <c r="P31" s="4">
        <v>4.62</v>
      </c>
      <c r="Q31" s="4">
        <v>0</v>
      </c>
      <c r="R31">
        <f t="shared" si="1"/>
        <v>4.62</v>
      </c>
    </row>
    <row r="32" spans="2:18" x14ac:dyDescent="0.3">
      <c r="B32" s="10" t="s">
        <v>43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5">
        <f t="shared" si="0"/>
        <v>0</v>
      </c>
      <c r="L32" s="2" t="s">
        <v>27</v>
      </c>
      <c r="M32" s="4">
        <v>0</v>
      </c>
      <c r="N32" s="4">
        <v>0</v>
      </c>
      <c r="O32" s="4">
        <v>0</v>
      </c>
      <c r="P32" s="4">
        <v>0</v>
      </c>
      <c r="Q32" s="4"/>
      <c r="R32">
        <f t="shared" si="1"/>
        <v>0</v>
      </c>
    </row>
    <row r="33" spans="2:18" x14ac:dyDescent="0.3">
      <c r="B33" s="10" t="s">
        <v>45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5">
        <f t="shared" si="0"/>
        <v>0</v>
      </c>
      <c r="L33" s="2" t="s">
        <v>21</v>
      </c>
      <c r="M33" s="4">
        <v>0</v>
      </c>
      <c r="N33" s="4">
        <v>0</v>
      </c>
      <c r="O33" s="4">
        <v>0</v>
      </c>
      <c r="P33" s="4">
        <v>0</v>
      </c>
      <c r="Q33" s="4">
        <v>0.36</v>
      </c>
      <c r="R33">
        <f t="shared" si="1"/>
        <v>0.36</v>
      </c>
    </row>
    <row r="34" spans="2:18" x14ac:dyDescent="0.3">
      <c r="B34" s="10" t="s">
        <v>46</v>
      </c>
      <c r="C34" s="11">
        <v>0</v>
      </c>
      <c r="D34" s="11">
        <v>0</v>
      </c>
      <c r="E34" s="11">
        <v>1.8</v>
      </c>
      <c r="F34" s="11">
        <v>0</v>
      </c>
      <c r="G34" s="11">
        <v>0</v>
      </c>
      <c r="H34" s="15">
        <f t="shared" si="0"/>
        <v>1.8</v>
      </c>
      <c r="L34" s="2" t="s">
        <v>42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>
        <f t="shared" si="1"/>
        <v>0</v>
      </c>
    </row>
    <row r="35" spans="2:18" x14ac:dyDescent="0.3">
      <c r="B35" s="10" t="s">
        <v>47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5">
        <f t="shared" si="0"/>
        <v>0</v>
      </c>
      <c r="L35" s="2" t="s">
        <v>22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>
        <f t="shared" si="1"/>
        <v>0</v>
      </c>
    </row>
    <row r="36" spans="2:18" x14ac:dyDescent="0.3">
      <c r="B36" s="10" t="s">
        <v>48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5">
        <f t="shared" si="0"/>
        <v>0</v>
      </c>
      <c r="L36" s="2" t="s">
        <v>49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>
        <f t="shared" si="1"/>
        <v>0</v>
      </c>
    </row>
    <row r="37" spans="2:18" x14ac:dyDescent="0.3">
      <c r="B37" s="10" t="s">
        <v>49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5">
        <f t="shared" si="0"/>
        <v>0</v>
      </c>
      <c r="L37" s="2" t="s">
        <v>25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>
        <f t="shared" si="1"/>
        <v>0</v>
      </c>
    </row>
    <row r="38" spans="2:18" x14ac:dyDescent="0.3">
      <c r="B38" s="10" t="s">
        <v>39</v>
      </c>
      <c r="C38" s="11">
        <v>0</v>
      </c>
      <c r="D38" s="11">
        <v>0</v>
      </c>
      <c r="E38" s="11">
        <f>4.1</f>
        <v>4.0999999999999996</v>
      </c>
      <c r="F38" s="11">
        <f>1.38</f>
        <v>1.38</v>
      </c>
      <c r="G38" s="11">
        <v>0</v>
      </c>
      <c r="H38" s="15">
        <f t="shared" si="0"/>
        <v>5.4799999999999995</v>
      </c>
      <c r="L38" s="2" t="s">
        <v>51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>
        <f t="shared" si="1"/>
        <v>0</v>
      </c>
    </row>
    <row r="39" spans="2:18" x14ac:dyDescent="0.3">
      <c r="B39" s="10" t="s">
        <v>50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5">
        <f t="shared" si="0"/>
        <v>0</v>
      </c>
      <c r="L39" s="2" t="s">
        <v>24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>
        <f t="shared" si="1"/>
        <v>0</v>
      </c>
    </row>
    <row r="40" spans="2:18" x14ac:dyDescent="0.3">
      <c r="B40" s="10" t="s">
        <v>40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5">
        <f t="shared" si="0"/>
        <v>0</v>
      </c>
      <c r="L40" s="2" t="s">
        <v>18</v>
      </c>
      <c r="M40" s="4">
        <v>0</v>
      </c>
      <c r="N40" s="4">
        <v>0</v>
      </c>
      <c r="O40" s="4">
        <v>0</v>
      </c>
      <c r="P40" s="4">
        <v>14.84</v>
      </c>
      <c r="Q40" s="4">
        <v>0.5</v>
      </c>
      <c r="R40">
        <f t="shared" si="1"/>
        <v>15.34</v>
      </c>
    </row>
    <row r="41" spans="2:18" x14ac:dyDescent="0.3">
      <c r="B41" s="10" t="s">
        <v>51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5">
        <f t="shared" si="0"/>
        <v>0</v>
      </c>
      <c r="L41" s="2" t="s">
        <v>63</v>
      </c>
      <c r="M41" s="4">
        <v>0</v>
      </c>
      <c r="N41" s="4">
        <v>23.42</v>
      </c>
      <c r="O41" s="4">
        <v>20.279999999999998</v>
      </c>
      <c r="P41" s="4">
        <v>90.250000000000014</v>
      </c>
      <c r="Q41" s="4">
        <v>68.06</v>
      </c>
      <c r="R41">
        <f t="shared" si="1"/>
        <v>202.01000000000002</v>
      </c>
    </row>
    <row r="42" spans="2:18" x14ac:dyDescent="0.3">
      <c r="B42" s="10" t="s">
        <v>52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5">
        <f t="shared" si="0"/>
        <v>0</v>
      </c>
    </row>
    <row r="43" spans="2:18" x14ac:dyDescent="0.3">
      <c r="B43" s="10" t="s">
        <v>30</v>
      </c>
      <c r="C43" s="11">
        <v>0</v>
      </c>
      <c r="D43" s="11">
        <v>0</v>
      </c>
      <c r="E43" s="11">
        <f>0.16+0.16+0.78</f>
        <v>1.1000000000000001</v>
      </c>
      <c r="F43" s="11">
        <f>4.44+4.24</f>
        <v>8.68</v>
      </c>
      <c r="G43" s="11">
        <v>0</v>
      </c>
      <c r="H43" s="15">
        <f t="shared" si="0"/>
        <v>9.7799999999999994</v>
      </c>
    </row>
    <row r="44" spans="2:18" ht="15" thickBot="1" x14ac:dyDescent="0.35">
      <c r="B44" s="12" t="s">
        <v>61</v>
      </c>
      <c r="C44" s="13">
        <f>SUM(C3:C43)</f>
        <v>0</v>
      </c>
      <c r="D44" s="13">
        <f t="shared" ref="D44:G44" si="2">SUM(D3:D43)</f>
        <v>23.42</v>
      </c>
      <c r="E44" s="13">
        <f t="shared" si="2"/>
        <v>20.28</v>
      </c>
      <c r="F44" s="13">
        <f t="shared" si="2"/>
        <v>90.25</v>
      </c>
      <c r="G44" s="13">
        <f t="shared" si="2"/>
        <v>68.06</v>
      </c>
      <c r="H44" s="16">
        <f t="shared" si="0"/>
        <v>202.01</v>
      </c>
    </row>
    <row r="45" spans="2:18" x14ac:dyDescent="0.3">
      <c r="C45" s="3"/>
      <c r="D45" s="3"/>
      <c r="E45" s="3"/>
      <c r="F45" s="3"/>
      <c r="G45" s="3"/>
    </row>
  </sheetData>
  <mergeCells count="1">
    <mergeCell ref="C45:G45"/>
  </mergeCells>
  <conditionalFormatting sqref="L2:R4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5" right="0.75" top="1" bottom="1" header="0.5" footer="0.5"/>
  <headerFooter>
    <oddFooter>&amp;C_x000D_&amp;1#&amp;"Arial"&amp;10&amp;K29CF00 C2 - COLAS GROUP INTERNAL: Employees and partners who need to know.</oddFooter>
  </headerFooter>
</worksheet>
</file>

<file path=docMetadata/LabelInfo.xml><?xml version="1.0" encoding="utf-8"?>
<clbl:labelList xmlns:clbl="http://schemas.microsoft.com/office/2020/mipLabelMetadata">
  <clbl:label id="{df64902a-104a-4642-a461-a3d9eb3752f4}" enabled="1" method="Standard" siteId="{be0be093-a2ad-444c-93d9-5626e83bee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Tonnages par commune CP</vt:lpstr>
      <vt:lpstr>Tonnages par déchets CP</vt:lpstr>
      <vt:lpstr>Tonnages par déchets OS</vt:lpstr>
      <vt:lpstr>Tonnages par commune 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KASSI, Koffi (TERSEN)</cp:lastModifiedBy>
  <dcterms:created xsi:type="dcterms:W3CDTF">2025-09-23T13:31:21Z</dcterms:created>
  <dcterms:modified xsi:type="dcterms:W3CDTF">2025-09-25T15:32:47Z</dcterms:modified>
</cp:coreProperties>
</file>